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28680" yWindow="65416" windowWidth="29040" windowHeight="15840" activeTab="2"/>
  </bookViews>
  <sheets>
    <sheet name="Instructions" sheetId="2" r:id="rId1"/>
    <sheet name="Common Assumptions" sheetId="3" r:id="rId2"/>
    <sheet name="Calculation Sheet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<sst xmlns="http://schemas.openxmlformats.org/spreadsheetml/2006/main" count="202" uniqueCount="153">
  <si>
    <t>Lighting Project</t>
  </si>
  <si>
    <t>Location</t>
  </si>
  <si>
    <t>Existing Fixture Type</t>
  </si>
  <si>
    <t>Speacial Features</t>
  </si>
  <si>
    <t>Existing</t>
  </si>
  <si>
    <t>fixture watts</t>
  </si>
  <si>
    <t>Hours per year</t>
  </si>
  <si>
    <t>Proposed</t>
  </si>
  <si>
    <t>New Controls</t>
  </si>
  <si>
    <t>Project overhead</t>
  </si>
  <si>
    <t>Total Project Cost</t>
  </si>
  <si>
    <t>Quantity</t>
  </si>
  <si>
    <t>Per Unit</t>
  </si>
  <si>
    <t>Fixture cost</t>
  </si>
  <si>
    <t>Labor cost</t>
  </si>
  <si>
    <t>Electricity Cost/kWh</t>
  </si>
  <si>
    <t>Discount Rate</t>
  </si>
  <si>
    <t>kWh/yr</t>
  </si>
  <si>
    <t>Emergency Backup</t>
  </si>
  <si>
    <t>Switch</t>
  </si>
  <si>
    <t>None</t>
  </si>
  <si>
    <t>Energy savings</t>
  </si>
  <si>
    <t>Utility savings</t>
  </si>
  <si>
    <t>Year</t>
  </si>
  <si>
    <t>Utility inflation</t>
  </si>
  <si>
    <t>Target lighting level (fc)</t>
  </si>
  <si>
    <t>Designed lighting level (fc)</t>
  </si>
  <si>
    <t>Caclulated Value</t>
  </si>
  <si>
    <t>Total</t>
  </si>
  <si>
    <t>Sample 2 (Rm E4105)</t>
  </si>
  <si>
    <t>Sample 1 (Rm E4105)</t>
  </si>
  <si>
    <t>New lighting Model #</t>
  </si>
  <si>
    <t>Simple Payback</t>
  </si>
  <si>
    <t>Net Present Value</t>
  </si>
  <si>
    <t>Internal Rate of Return</t>
  </si>
  <si>
    <t>C-TR-D-FP22-S37L-SCCT-UL-WH-2</t>
  </si>
  <si>
    <t>C-TR-C-FP22-25L-35K-WH-EB</t>
  </si>
  <si>
    <t>Fixture Type</t>
  </si>
  <si>
    <t>Typical wattage</t>
  </si>
  <si>
    <t>1L 32W T8</t>
  </si>
  <si>
    <t>2L 32W T8</t>
  </si>
  <si>
    <t>3L 32W T8</t>
  </si>
  <si>
    <t>4L 32W T8</t>
  </si>
  <si>
    <t>1L 40W T12</t>
  </si>
  <si>
    <t>2L 40W T12</t>
  </si>
  <si>
    <t>3L 40W T12</t>
  </si>
  <si>
    <t>4L 40W T12</t>
  </si>
  <si>
    <t>2L 8' T12</t>
  </si>
  <si>
    <t>1L 8' T12</t>
  </si>
  <si>
    <t>1L 8' T12HO</t>
  </si>
  <si>
    <t>2L 8' T12HO</t>
  </si>
  <si>
    <t>1L 8' T12VHO</t>
  </si>
  <si>
    <t>2L 8' T12VHO</t>
  </si>
  <si>
    <t>35W HID</t>
  </si>
  <si>
    <t>50W HID</t>
  </si>
  <si>
    <t>70W HID</t>
  </si>
  <si>
    <t>100W HID</t>
  </si>
  <si>
    <t>150W HID</t>
  </si>
  <si>
    <t>175W HID</t>
  </si>
  <si>
    <t>200W HID</t>
  </si>
  <si>
    <t>250W HID</t>
  </si>
  <si>
    <t>400W HID</t>
  </si>
  <si>
    <t>1000W HID</t>
  </si>
  <si>
    <t>Space</t>
  </si>
  <si>
    <t>Typical Hours/yr</t>
  </si>
  <si>
    <t>Classroom</t>
  </si>
  <si>
    <t>Dining Cashier Area</t>
  </si>
  <si>
    <t>Dining Area</t>
  </si>
  <si>
    <t>Kitchen</t>
  </si>
  <si>
    <t>Service Garage</t>
  </si>
  <si>
    <t>Repair Area</t>
  </si>
  <si>
    <t>Gymnasium, Assembly</t>
  </si>
  <si>
    <t>Gymnasium, Recreation</t>
  </si>
  <si>
    <t>Gymnasium, Competition</t>
  </si>
  <si>
    <t>Corridors/Stairways</t>
  </si>
  <si>
    <t>Offices</t>
  </si>
  <si>
    <t>Library</t>
  </si>
  <si>
    <t>Outdoor, Parking</t>
  </si>
  <si>
    <t>Outdoor, Active Entrance</t>
  </si>
  <si>
    <t>Outdoor, Inactive Entrance</t>
  </si>
  <si>
    <t>Outdoor, Loading Dock</t>
  </si>
  <si>
    <t>20-50</t>
  </si>
  <si>
    <t>5-20</t>
  </si>
  <si>
    <t>50-100</t>
  </si>
  <si>
    <t>10-20</t>
  </si>
  <si>
    <t>Bathroom</t>
  </si>
  <si>
    <t>Lighting Target (fc)</t>
  </si>
  <si>
    <t>Space Type</t>
  </si>
  <si>
    <t>Private Office</t>
  </si>
  <si>
    <t>Open Office</t>
  </si>
  <si>
    <t>Occ Sensor</t>
  </si>
  <si>
    <t>Bi-level Switch</t>
  </si>
  <si>
    <t>Manual dimming</t>
  </si>
  <si>
    <t>Daylight harvesting</t>
  </si>
  <si>
    <t>In daylight zones</t>
  </si>
  <si>
    <t>Unknown</t>
  </si>
  <si>
    <t>Control Savings (%)</t>
  </si>
  <si>
    <t>Room Type</t>
  </si>
  <si>
    <t>Existing Fixture Lamp</t>
  </si>
  <si>
    <t>Troffer</t>
  </si>
  <si>
    <t>24/7 Application?</t>
  </si>
  <si>
    <t>Yes</t>
  </si>
  <si>
    <t>No</t>
  </si>
  <si>
    <t>Other</t>
  </si>
  <si>
    <t>Name/Number of room</t>
  </si>
  <si>
    <t>Select from list of values</t>
  </si>
  <si>
    <t>Description of fixture type ie. troffer, surface, etc</t>
  </si>
  <si>
    <t>Describe any special features required such as emergency fixtures, explosion proof, etc.</t>
  </si>
  <si>
    <t>Select yes or no</t>
  </si>
  <si>
    <t>Notes</t>
  </si>
  <si>
    <t>Emergency Backup to be connected to room light switch</t>
  </si>
  <si>
    <t>Model # of replacement lamp/fixture</t>
  </si>
  <si>
    <t>Auto-filled from room selection</t>
  </si>
  <si>
    <t>Input designed lighting level from model</t>
  </si>
  <si>
    <t>Auto-filled from selected existing lamp</t>
  </si>
  <si>
    <t>Input fixture quantity</t>
  </si>
  <si>
    <t>Calculated value</t>
  </si>
  <si>
    <t>Existing, fixture watts</t>
  </si>
  <si>
    <t>Existing, Hours per year</t>
  </si>
  <si>
    <t>Existing, Quantity</t>
  </si>
  <si>
    <t>Existing, kWh/yr</t>
  </si>
  <si>
    <t>Proposed, fixture watts</t>
  </si>
  <si>
    <t>Proposed, Hours per year</t>
  </si>
  <si>
    <t>Proposed, Quantity</t>
  </si>
  <si>
    <t>Proposed, kWh/yr</t>
  </si>
  <si>
    <t>Per Unit, Fixture cost</t>
  </si>
  <si>
    <t>Per Unit, Labor cost</t>
  </si>
  <si>
    <t>Input estimated fixture cost</t>
  </si>
  <si>
    <t>Input estimated labor cost</t>
  </si>
  <si>
    <t>Input project overhead cost attributed to this line</t>
  </si>
  <si>
    <t>Describe any additional notes</t>
  </si>
  <si>
    <t>This spreadsheet aids in developing a lighting upgrade project plan. The Common Assumptions tab includes lists of typical assumptions.</t>
  </si>
  <si>
    <t>The calculation sheet allows users to overwrite values. Colleges who have data based on measurements taken should use this.</t>
  </si>
  <si>
    <t>This is developed through support of the Illinois Green Economy Network (IGEN)</t>
  </si>
  <si>
    <t>This sheet was developed by the Smart Energy Design Assistance Center March 2024</t>
  </si>
  <si>
    <t>Input college discount rate (typically between 0% and 5%)</t>
  </si>
  <si>
    <t>Input utility inflation rate (typically between 0% and 2%)</t>
  </si>
  <si>
    <t>Input college cost of electricity (typically between $0.05 and $0.15)</t>
  </si>
  <si>
    <t>Fixture input wattage includes</t>
  </si>
  <si>
    <t>ballast losses and is from</t>
  </si>
  <si>
    <t>utility reference documents</t>
  </si>
  <si>
    <t>Over or under lighting spaces should be avoided as it can cause</t>
  </si>
  <si>
    <t>fatigue or eye strain. Targets are provided from the Illuminating</t>
  </si>
  <si>
    <t>Engineering Society (IES). Lighting layouts can be performed by</t>
  </si>
  <si>
    <t>contractors suppliers, or using manufacturers websites and</t>
  </si>
  <si>
    <t>provide fixture layouts or recommended spacings.</t>
  </si>
  <si>
    <t>Adding controls often reduce operating hours of lighting fixtures. These are</t>
  </si>
  <si>
    <t>estimates provided by the Lighting Controls Association and the Department</t>
  </si>
  <si>
    <t>of Energy.</t>
  </si>
  <si>
    <t>Describe any new controls planned, if controls planned, Adjust Proposed Hours per year by multiplying the Existing, Hours per year by one minus the savings percent ie. (1-0.10) for 10%</t>
  </si>
  <si>
    <t>Auto-filled from room selection, same as Existing, Hours per year; adjust if adding controls</t>
  </si>
  <si>
    <t>1% for IGEN Project Requests</t>
  </si>
  <si>
    <t>5% for IGEN Project Requests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</si>
</sst>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">
    <font>
      <sz val="11"/>
      <color theme="1"/>
      <name val="Aptos Narrow"/>
      <family val="2"/>
      <scheme val="minor"/>
    </font>
    <font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E6F5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9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/>
    <xf numFmtId="2" fontId="0" fillId="0" borderId="0" xfId="0" applyNumberFormat="1"/>
    <xf numFmtId="9" fontId="0" fillId="0" borderId="0" xfId="15" applyFont="1"/>
    <xf numFmtId="0" fontId="0" fillId="2" borderId="0" xfId="0" applyFill="1"/>
    <xf numFmtId="0" fontId="0" fillId="2" borderId="0" xfId="0" applyFill="1" applyAlignment="1">
      <alignment horizontal="center"/>
    </xf>
    <xf numFmtId="165" fontId="0" fillId="2" borderId="0" xfId="0" applyNumberFormat="1" applyFill="1"/>
    <xf numFmtId="3" fontId="0" fillId="2" borderId="0" xfId="0" applyNumberFormat="1" applyFill="1"/>
    <xf numFmtId="0" fontId="0" fillId="2" borderId="0" xfId="0" applyFill="1" applyAlignment="1">
      <alignment wrapText="1"/>
    </xf>
    <xf numFmtId="0" fontId="0" fillId="2" borderId="1" xfId="0" applyFill="1" applyBorder="1"/>
    <xf numFmtId="3" fontId="0" fillId="2" borderId="2" xfId="0" applyNumberFormat="1" applyFill="1" applyBorder="1"/>
    <xf numFmtId="0" fontId="0" fillId="0" borderId="3" xfId="0" applyBorder="1"/>
    <xf numFmtId="3" fontId="0" fillId="3" borderId="2" xfId="0" applyNumberFormat="1" applyFill="1" applyBorder="1"/>
    <xf numFmtId="3" fontId="0" fillId="3" borderId="4" xfId="0" applyNumberFormat="1" applyFill="1" applyBorder="1"/>
    <xf numFmtId="165" fontId="0" fillId="3" borderId="0" xfId="0" applyNumberFormat="1" applyFill="1"/>
    <xf numFmtId="3" fontId="0" fillId="3" borderId="0" xfId="0" applyNumberFormat="1" applyFill="1"/>
    <xf numFmtId="2" fontId="0" fillId="3" borderId="1" xfId="0" applyNumberFormat="1" applyFill="1" applyBorder="1"/>
    <xf numFmtId="9" fontId="0" fillId="3" borderId="2" xfId="15" applyFont="1" applyFill="1" applyBorder="1"/>
    <xf numFmtId="2" fontId="0" fillId="3" borderId="5" xfId="0" applyNumberFormat="1" applyFill="1" applyBorder="1"/>
    <xf numFmtId="165" fontId="0" fillId="3" borderId="3" xfId="0" applyNumberFormat="1" applyFill="1" applyBorder="1"/>
    <xf numFmtId="9" fontId="0" fillId="3" borderId="4" xfId="15" applyFont="1" applyFill="1" applyBorder="1"/>
    <xf numFmtId="0" fontId="0" fillId="4" borderId="0" xfId="0" applyFill="1"/>
    <xf numFmtId="3" fontId="0" fillId="4" borderId="0" xfId="0" applyNumberFormat="1" applyFill="1"/>
    <xf numFmtId="3" fontId="0" fillId="4" borderId="2" xfId="0" applyNumberFormat="1" applyFill="1" applyBorder="1"/>
    <xf numFmtId="165" fontId="0" fillId="4" borderId="0" xfId="0" applyNumberFormat="1" applyFill="1"/>
    <xf numFmtId="164" fontId="0" fillId="4" borderId="0" xfId="0" applyNumberFormat="1" applyFill="1"/>
    <xf numFmtId="2" fontId="0" fillId="4" borderId="1" xfId="0" applyNumberFormat="1" applyFill="1" applyBorder="1"/>
    <xf numFmtId="9" fontId="0" fillId="4" borderId="2" xfId="15" applyFont="1" applyFill="1" applyBorder="1"/>
    <xf numFmtId="164" fontId="0" fillId="3" borderId="0" xfId="0" applyNumberFormat="1" applyFill="1"/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5" borderId="0" xfId="0" applyFill="1"/>
    <xf numFmtId="0" fontId="0" fillId="6" borderId="0" xfId="0" applyFill="1"/>
    <xf numFmtId="0" fontId="0" fillId="7" borderId="6" xfId="0" applyFill="1" applyBorder="1" applyAlignment="1">
      <alignment horizontal="center"/>
    </xf>
    <xf numFmtId="0" fontId="0" fillId="0" borderId="1" xfId="0" applyBorder="1"/>
    <xf numFmtId="0" fontId="0" fillId="0" borderId="5" xfId="0" applyBorder="1"/>
    <xf numFmtId="3" fontId="0" fillId="0" borderId="3" xfId="0" applyNumberFormat="1" applyBorder="1"/>
    <xf numFmtId="0" fontId="0" fillId="3" borderId="0" xfId="0" applyFill="1"/>
    <xf numFmtId="164" fontId="0" fillId="6" borderId="0" xfId="0" applyNumberFormat="1" applyFill="1"/>
    <xf numFmtId="9" fontId="0" fillId="6" borderId="0" xfId="0" applyNumberFormat="1" applyFill="1"/>
    <xf numFmtId="9" fontId="0" fillId="8" borderId="2" xfId="15" applyFont="1" applyFill="1" applyBorder="1"/>
    <xf numFmtId="0" fontId="0" fillId="8" borderId="0" xfId="0" applyFill="1"/>
    <xf numFmtId="165" fontId="0" fillId="2" borderId="0" xfId="0" applyNumberFormat="1" applyFill="1" applyAlignment="1">
      <alignment wrapText="1"/>
    </xf>
    <xf numFmtId="9" fontId="0" fillId="2" borderId="0" xfId="15" applyFont="1" applyFill="1" applyBorder="1" applyAlignment="1">
      <alignment wrapText="1"/>
    </xf>
    <xf numFmtId="0" fontId="0" fillId="0" borderId="0" xfId="0" applyAlignment="1">
      <alignment horizontal="center"/>
    </xf>
    <xf numFmtId="9" fontId="0" fillId="0" borderId="0" xfId="15" applyFont="1" applyFill="1" applyBorder="1" applyAlignment="1">
      <alignment wrapText="1"/>
    </xf>
    <xf numFmtId="2" fontId="0" fillId="2" borderId="0" xfId="0" applyNumberFormat="1" applyFill="1" applyAlignment="1">
      <alignment wrapText="1"/>
    </xf>
    <xf numFmtId="165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2" borderId="0" xfId="0" applyFill="1" applyAlignment="1">
      <alignment wrapText="1"/>
    </xf>
    <xf numFmtId="0" fontId="0" fillId="3" borderId="0" xfId="0" applyFill="1"/>
    <xf numFmtId="2" fontId="0" fillId="2" borderId="7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 wrapText="1"/>
    </xf>
    <xf numFmtId="165" fontId="0" fillId="2" borderId="8" xfId="0" applyNumberFormat="1" applyFill="1" applyBorder="1" applyAlignment="1">
      <alignment horizontal="center" wrapText="1"/>
    </xf>
    <xf numFmtId="165" fontId="0" fillId="2" borderId="0" xfId="0" applyNumberFormat="1" applyFill="1" applyAlignment="1">
      <alignment horizontal="center" wrapText="1"/>
    </xf>
    <xf numFmtId="9" fontId="0" fillId="2" borderId="9" xfId="15" applyFont="1" applyFill="1" applyBorder="1" applyAlignment="1">
      <alignment horizontal="center" wrapText="1"/>
    </xf>
    <xf numFmtId="9" fontId="0" fillId="2" borderId="2" xfId="15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2" xfId="0" applyFill="1" applyBorder="1" applyAlignment="1">
      <alignment wrapText="1"/>
    </xf>
    <xf numFmtId="3" fontId="0" fillId="2" borderId="0" xfId="0" applyNumberFormat="1" applyFill="1" applyBorder="1"/>
    <xf numFmtId="0" fontId="0" fillId="2" borderId="0" xfId="0" applyFill="1" applyBorder="1"/>
    <xf numFmtId="0" fontId="0" fillId="4" borderId="0" xfId="0" applyFill="1" applyBorder="1"/>
    <xf numFmtId="3" fontId="0" fillId="0" borderId="0" xfId="0" applyNumberFormat="1" applyBorder="1"/>
    <xf numFmtId="0" fontId="0" fillId="0" borderId="0" xfId="0" applyBorder="1"/>
    <xf numFmtId="0" fontId="0" fillId="8" borderId="0" xfId="0" applyFill="1" applyBorder="1"/>
    <xf numFmtId="0" fontId="0" fillId="8" borderId="1" xfId="0" applyFill="1" applyBorder="1"/>
    <xf numFmtId="3" fontId="0" fillId="8" borderId="0" xfId="0" applyNumberFormat="1" applyFill="1" applyBorder="1"/>
    <xf numFmtId="3" fontId="0" fillId="8" borderId="2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0C0C-2642-4A61-84F0-7978075849E6}">
  <dimension ref="A1:I38"/>
  <sheetViews>
    <sheetView workbookViewId="0" topLeftCell="A1">
      <selection activeCell="B8" sqref="B8"/>
    </sheetView>
  </sheetViews>
  <sheetFormatPr defaultColWidth="8.796875" defaultRowHeight="14.25"/>
  <cols>
    <col min="1" max="1" width="28.8984375" style="0" bestFit="1" customWidth="1"/>
    <col min="2" max="2" width="84" style="0" customWidth="1"/>
    <col min="3" max="7" width="9.09765625" style="0" customWidth="1"/>
  </cols>
  <sheetData>
    <row r="1" spans="1:4" ht="14.25">
      <c r="A1" s="52" t="s">
        <v>131</v>
      </c>
      <c r="B1" s="52"/>
      <c r="C1" s="52"/>
      <c r="D1" s="52"/>
    </row>
    <row r="2" spans="1:3" ht="14.25">
      <c r="A2" s="52" t="s">
        <v>132</v>
      </c>
      <c r="B2" s="52"/>
      <c r="C2" s="52"/>
    </row>
    <row r="3" ht="14.25">
      <c r="A3" t="s">
        <v>133</v>
      </c>
    </row>
    <row r="4" ht="14.25">
      <c r="A4" t="s">
        <v>134</v>
      </c>
    </row>
    <row r="6" spans="1:2" ht="14.25">
      <c r="A6" s="7" t="s">
        <v>15</v>
      </c>
      <c r="B6" t="s">
        <v>137</v>
      </c>
    </row>
    <row r="7" spans="1:2" ht="14.25">
      <c r="A7" s="7" t="s">
        <v>16</v>
      </c>
      <c r="B7" t="s">
        <v>135</v>
      </c>
    </row>
    <row r="8" spans="1:2" ht="14.25">
      <c r="A8" s="7" t="s">
        <v>24</v>
      </c>
      <c r="B8" t="s">
        <v>136</v>
      </c>
    </row>
    <row r="11" spans="1:2" ht="14.25">
      <c r="A11" s="7" t="s">
        <v>1</v>
      </c>
      <c r="B11" t="s">
        <v>104</v>
      </c>
    </row>
    <row r="12" spans="1:2" ht="15" customHeight="1">
      <c r="A12" s="7" t="s">
        <v>97</v>
      </c>
      <c r="B12" t="s">
        <v>105</v>
      </c>
    </row>
    <row r="13" spans="1:2" ht="14.25">
      <c r="A13" s="11" t="s">
        <v>98</v>
      </c>
      <c r="B13" t="s">
        <v>105</v>
      </c>
    </row>
    <row r="14" spans="1:2" ht="14.25">
      <c r="A14" s="11" t="s">
        <v>2</v>
      </c>
      <c r="B14" t="s">
        <v>106</v>
      </c>
    </row>
    <row r="15" spans="1:2" ht="14.25">
      <c r="A15" s="7" t="s">
        <v>3</v>
      </c>
      <c r="B15" t="s">
        <v>107</v>
      </c>
    </row>
    <row r="16" spans="1:2" ht="14.25">
      <c r="A16" s="7" t="s">
        <v>100</v>
      </c>
      <c r="B16" t="s">
        <v>108</v>
      </c>
    </row>
    <row r="17" spans="1:2" ht="14.25">
      <c r="A17" s="11" t="s">
        <v>31</v>
      </c>
      <c r="B17" t="s">
        <v>111</v>
      </c>
    </row>
    <row r="18" spans="1:7" ht="14.25">
      <c r="A18" s="11" t="s">
        <v>25</v>
      </c>
      <c r="B18" t="s">
        <v>112</v>
      </c>
      <c r="G18" s="47"/>
    </row>
    <row r="19" spans="1:2" ht="14.25">
      <c r="A19" s="11" t="s">
        <v>26</v>
      </c>
      <c r="B19" t="s">
        <v>113</v>
      </c>
    </row>
    <row r="20" spans="1:2" ht="14.25">
      <c r="A20" s="12" t="s">
        <v>117</v>
      </c>
      <c r="B20" t="s">
        <v>114</v>
      </c>
    </row>
    <row r="21" spans="1:2" ht="14.25">
      <c r="A21" s="10" t="s">
        <v>118</v>
      </c>
      <c r="B21" t="s">
        <v>112</v>
      </c>
    </row>
    <row r="22" spans="1:2" ht="14.25">
      <c r="A22" s="7" t="s">
        <v>119</v>
      </c>
      <c r="B22" t="s">
        <v>115</v>
      </c>
    </row>
    <row r="23" spans="1:2" ht="14.25">
      <c r="A23" s="10" t="s">
        <v>120</v>
      </c>
      <c r="B23" s="40" t="s">
        <v>116</v>
      </c>
    </row>
    <row r="24" spans="1:2" ht="30">
      <c r="A24" s="7" t="s">
        <v>8</v>
      </c>
      <c r="B24" s="51" t="s">
        <v>149</v>
      </c>
    </row>
    <row r="25" spans="1:2" ht="14.25">
      <c r="A25" s="12" t="s">
        <v>121</v>
      </c>
      <c r="B25" t="s">
        <v>114</v>
      </c>
    </row>
    <row r="26" spans="1:2" ht="14.25">
      <c r="A26" s="10" t="s">
        <v>122</v>
      </c>
      <c r="B26" t="s">
        <v>150</v>
      </c>
    </row>
    <row r="27" spans="1:2" ht="14.25">
      <c r="A27" s="7" t="s">
        <v>123</v>
      </c>
      <c r="B27" t="s">
        <v>115</v>
      </c>
    </row>
    <row r="28" spans="1:2" ht="14.25">
      <c r="A28" s="10" t="s">
        <v>124</v>
      </c>
      <c r="B28" s="40" t="s">
        <v>116</v>
      </c>
    </row>
    <row r="29" spans="1:2" ht="14.25">
      <c r="A29" s="9" t="s">
        <v>125</v>
      </c>
      <c r="B29" t="s">
        <v>127</v>
      </c>
    </row>
    <row r="30" spans="1:2" ht="14.25">
      <c r="A30" s="9" t="s">
        <v>126</v>
      </c>
      <c r="B30" t="s">
        <v>128</v>
      </c>
    </row>
    <row r="31" spans="1:2" ht="14.25">
      <c r="A31" s="9" t="s">
        <v>9</v>
      </c>
      <c r="B31" t="s">
        <v>129</v>
      </c>
    </row>
    <row r="32" spans="1:2" ht="14.25">
      <c r="A32" s="9" t="s">
        <v>10</v>
      </c>
      <c r="B32" s="40" t="s">
        <v>116</v>
      </c>
    </row>
    <row r="33" spans="1:2" ht="14.25">
      <c r="A33" s="10" t="s">
        <v>21</v>
      </c>
      <c r="B33" s="40" t="s">
        <v>116</v>
      </c>
    </row>
    <row r="34" spans="1:2" ht="14.25">
      <c r="A34" s="7" t="s">
        <v>22</v>
      </c>
      <c r="B34" s="40" t="s">
        <v>116</v>
      </c>
    </row>
    <row r="35" spans="1:2" ht="15.75" customHeight="1">
      <c r="A35" s="49" t="s">
        <v>32</v>
      </c>
      <c r="B35" s="40" t="s">
        <v>116</v>
      </c>
    </row>
    <row r="36" spans="1:9" ht="14.25">
      <c r="A36" s="45" t="s">
        <v>33</v>
      </c>
      <c r="B36" s="50" t="s">
        <v>116</v>
      </c>
      <c r="C36" s="48"/>
      <c r="D36" s="47"/>
      <c r="E36" s="4"/>
      <c r="F36" s="4"/>
      <c r="G36" s="4"/>
      <c r="H36" s="4"/>
      <c r="I36" s="3"/>
    </row>
    <row r="37" spans="1:2" ht="14.25">
      <c r="A37" s="46" t="s">
        <v>34</v>
      </c>
      <c r="B37" s="40" t="s">
        <v>116</v>
      </c>
    </row>
    <row r="38" spans="1:2" ht="14.25">
      <c r="A38" s="46" t="s">
        <v>109</v>
      </c>
      <c r="B38" t="s">
        <v>130</v>
      </c>
    </row>
  </sheetData>
  <mergeCells count="2">
    <mergeCell ref="A1:D1"/>
    <mergeCell ref="A2:C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20C5-47BF-4E61-85BA-92D094446BEA}">
  <dimension ref="A1:L32"/>
  <sheetViews>
    <sheetView workbookViewId="0" topLeftCell="A1">
      <selection activeCell="E9" sqref="E9"/>
    </sheetView>
  </sheetViews>
  <sheetFormatPr defaultColWidth="8.796875" defaultRowHeight="14.25"/>
  <cols>
    <col min="1" max="1" width="12.296875" style="0" bestFit="1" customWidth="1"/>
    <col min="2" max="2" width="14.69921875" style="0" bestFit="1" customWidth="1"/>
    <col min="4" max="4" width="24.8984375" style="0" bestFit="1" customWidth="1"/>
    <col min="5" max="5" width="17.59765625" style="0" bestFit="1" customWidth="1"/>
    <col min="6" max="6" width="15.59765625" style="0" bestFit="1" customWidth="1"/>
    <col min="8" max="8" width="12.59765625" style="0" bestFit="1" customWidth="1"/>
    <col min="9" max="9" width="11" style="0" bestFit="1" customWidth="1"/>
    <col min="10" max="10" width="13.8984375" style="0" bestFit="1" customWidth="1"/>
    <col min="11" max="11" width="16.09765625" style="0" bestFit="1" customWidth="1"/>
    <col min="12" max="12" width="18" style="0" bestFit="1" customWidth="1"/>
  </cols>
  <sheetData>
    <row r="1" spans="1:8" ht="14.25">
      <c r="A1" t="s">
        <v>138</v>
      </c>
      <c r="D1" t="s">
        <v>141</v>
      </c>
      <c r="H1" t="s">
        <v>146</v>
      </c>
    </row>
    <row r="2" spans="1:8" ht="14.25">
      <c r="A2" t="s">
        <v>139</v>
      </c>
      <c r="D2" t="s">
        <v>142</v>
      </c>
      <c r="H2" t="s">
        <v>147</v>
      </c>
    </row>
    <row r="3" spans="1:8" ht="14.25">
      <c r="A3" t="s">
        <v>140</v>
      </c>
      <c r="D3" t="s">
        <v>143</v>
      </c>
      <c r="H3" t="s">
        <v>148</v>
      </c>
    </row>
    <row r="4" ht="14.25">
      <c r="D4" t="s">
        <v>144</v>
      </c>
    </row>
    <row r="5" ht="14.25">
      <c r="D5" t="s">
        <v>145</v>
      </c>
    </row>
    <row r="7" spans="1:8" ht="14.25">
      <c r="A7" t="s">
        <v>37</v>
      </c>
      <c r="B7" t="s">
        <v>38</v>
      </c>
      <c r="D7" t="s">
        <v>63</v>
      </c>
      <c r="E7" t="s">
        <v>86</v>
      </c>
      <c r="F7" t="s">
        <v>64</v>
      </c>
      <c r="H7" t="s">
        <v>96</v>
      </c>
    </row>
    <row r="8" spans="1:12" ht="14.25">
      <c r="A8" t="s">
        <v>39</v>
      </c>
      <c r="B8">
        <v>28</v>
      </c>
      <c r="D8" t="s">
        <v>85</v>
      </c>
      <c r="E8" s="32" t="s">
        <v>81</v>
      </c>
      <c r="F8" s="3">
        <v>4400</v>
      </c>
      <c r="I8" s="34" t="s">
        <v>90</v>
      </c>
      <c r="J8" s="34" t="s">
        <v>91</v>
      </c>
      <c r="K8" s="34" t="s">
        <v>92</v>
      </c>
      <c r="L8" s="34" t="s">
        <v>93</v>
      </c>
    </row>
    <row r="9" spans="1:12" ht="14.25">
      <c r="A9" t="s">
        <v>40</v>
      </c>
      <c r="B9">
        <v>56</v>
      </c>
      <c r="D9" t="s">
        <v>65</v>
      </c>
      <c r="E9" s="32" t="s">
        <v>81</v>
      </c>
      <c r="F9" s="3">
        <v>3100</v>
      </c>
      <c r="H9" t="s">
        <v>87</v>
      </c>
      <c r="I9" s="34"/>
      <c r="J9" s="34"/>
      <c r="K9" s="34"/>
      <c r="L9" s="34" t="s">
        <v>94</v>
      </c>
    </row>
    <row r="10" spans="1:12" ht="14.25">
      <c r="A10" t="s">
        <v>41</v>
      </c>
      <c r="B10">
        <v>84</v>
      </c>
      <c r="D10" t="s">
        <v>74</v>
      </c>
      <c r="E10" s="32">
        <v>20</v>
      </c>
      <c r="F10" s="3">
        <v>6200</v>
      </c>
      <c r="H10" s="35" t="s">
        <v>88</v>
      </c>
      <c r="I10" s="36">
        <v>35</v>
      </c>
      <c r="J10" s="36">
        <v>20</v>
      </c>
      <c r="K10" s="36">
        <v>5</v>
      </c>
      <c r="L10" s="36">
        <v>40</v>
      </c>
    </row>
    <row r="11" spans="1:12" ht="14.25">
      <c r="A11" t="s">
        <v>42</v>
      </c>
      <c r="B11">
        <v>113</v>
      </c>
      <c r="D11" t="s">
        <v>67</v>
      </c>
      <c r="E11" s="33" t="s">
        <v>82</v>
      </c>
      <c r="F11" s="3">
        <v>6200</v>
      </c>
      <c r="H11" s="35" t="s">
        <v>89</v>
      </c>
      <c r="I11" s="36">
        <v>30</v>
      </c>
      <c r="J11" s="36">
        <v>15</v>
      </c>
      <c r="K11" s="36"/>
      <c r="L11" s="36">
        <v>35</v>
      </c>
    </row>
    <row r="12" spans="1:12" ht="14.25">
      <c r="A12" t="s">
        <v>43</v>
      </c>
      <c r="B12">
        <v>41</v>
      </c>
      <c r="D12" t="s">
        <v>66</v>
      </c>
      <c r="E12" s="32" t="s">
        <v>81</v>
      </c>
      <c r="F12" s="3">
        <v>6200</v>
      </c>
      <c r="H12" s="35" t="s">
        <v>65</v>
      </c>
      <c r="I12" s="36">
        <v>50</v>
      </c>
      <c r="J12" s="36">
        <v>5</v>
      </c>
      <c r="K12" s="36"/>
      <c r="L12" s="36">
        <v>45</v>
      </c>
    </row>
    <row r="13" spans="1:12" ht="14.25">
      <c r="A13" t="s">
        <v>44</v>
      </c>
      <c r="B13">
        <v>87</v>
      </c>
      <c r="D13" t="s">
        <v>71</v>
      </c>
      <c r="E13" s="32">
        <v>10</v>
      </c>
      <c r="F13" s="3">
        <v>3100</v>
      </c>
      <c r="H13" s="35" t="s">
        <v>95</v>
      </c>
      <c r="I13" s="36">
        <v>20</v>
      </c>
      <c r="J13" s="36"/>
      <c r="K13" s="36">
        <v>30</v>
      </c>
      <c r="L13" s="36">
        <v>25</v>
      </c>
    </row>
    <row r="14" spans="1:6" ht="14.25">
      <c r="A14" t="s">
        <v>45</v>
      </c>
      <c r="B14">
        <v>141</v>
      </c>
      <c r="D14" t="s">
        <v>73</v>
      </c>
      <c r="E14" s="32">
        <v>50</v>
      </c>
      <c r="F14" s="3">
        <v>3100</v>
      </c>
    </row>
    <row r="15" spans="1:6" ht="14.25">
      <c r="A15" t="s">
        <v>46</v>
      </c>
      <c r="B15">
        <v>172</v>
      </c>
      <c r="D15" t="s">
        <v>72</v>
      </c>
      <c r="E15" s="32">
        <v>30</v>
      </c>
      <c r="F15" s="3">
        <v>3100</v>
      </c>
    </row>
    <row r="16" spans="1:6" ht="14.25">
      <c r="A16" t="s">
        <v>48</v>
      </c>
      <c r="B16">
        <v>83</v>
      </c>
      <c r="D16" t="s">
        <v>68</v>
      </c>
      <c r="E16" s="32" t="s">
        <v>83</v>
      </c>
      <c r="F16" s="3">
        <v>6200</v>
      </c>
    </row>
    <row r="17" spans="1:6" ht="14.25">
      <c r="A17" t="s">
        <v>47</v>
      </c>
      <c r="B17">
        <v>138</v>
      </c>
      <c r="D17" t="s">
        <v>76</v>
      </c>
      <c r="E17" s="32" t="s">
        <v>81</v>
      </c>
      <c r="F17" s="3">
        <v>6200</v>
      </c>
    </row>
    <row r="18" spans="1:6" ht="14.25">
      <c r="A18" t="s">
        <v>49</v>
      </c>
      <c r="B18">
        <v>125</v>
      </c>
      <c r="D18" t="s">
        <v>75</v>
      </c>
      <c r="E18" s="32" t="s">
        <v>81</v>
      </c>
      <c r="F18" s="3">
        <v>3100</v>
      </c>
    </row>
    <row r="19" spans="1:6" ht="14.25">
      <c r="A19" t="s">
        <v>50</v>
      </c>
      <c r="B19">
        <v>227</v>
      </c>
      <c r="D19" t="s">
        <v>78</v>
      </c>
      <c r="E19" s="32">
        <v>5</v>
      </c>
      <c r="F19" s="3">
        <v>4300</v>
      </c>
    </row>
    <row r="20" spans="1:6" ht="14.25">
      <c r="A20" t="s">
        <v>51</v>
      </c>
      <c r="B20">
        <v>200</v>
      </c>
      <c r="D20" t="s">
        <v>79</v>
      </c>
      <c r="E20" s="32">
        <v>1</v>
      </c>
      <c r="F20" s="3">
        <v>4300</v>
      </c>
    </row>
    <row r="21" spans="1:6" ht="14.25">
      <c r="A21" t="s">
        <v>52</v>
      </c>
      <c r="B21">
        <v>390</v>
      </c>
      <c r="D21" t="s">
        <v>80</v>
      </c>
      <c r="E21" s="32">
        <v>20</v>
      </c>
      <c r="F21" s="3">
        <v>4300</v>
      </c>
    </row>
    <row r="22" spans="1:6" ht="14.25">
      <c r="A22" t="s">
        <v>53</v>
      </c>
      <c r="B22">
        <v>46</v>
      </c>
      <c r="D22" t="s">
        <v>77</v>
      </c>
      <c r="E22" s="32">
        <v>0.8</v>
      </c>
      <c r="F22" s="3">
        <v>4300</v>
      </c>
    </row>
    <row r="23" spans="1:6" ht="14.25">
      <c r="A23" t="s">
        <v>54</v>
      </c>
      <c r="B23">
        <v>66</v>
      </c>
      <c r="D23" t="s">
        <v>70</v>
      </c>
      <c r="E23" s="32" t="s">
        <v>83</v>
      </c>
      <c r="F23" s="3">
        <v>3100</v>
      </c>
    </row>
    <row r="24" spans="1:6" ht="14.25">
      <c r="A24" t="s">
        <v>55</v>
      </c>
      <c r="B24">
        <v>95</v>
      </c>
      <c r="D24" t="s">
        <v>69</v>
      </c>
      <c r="E24" s="33" t="s">
        <v>84</v>
      </c>
      <c r="F24" s="3">
        <v>3100</v>
      </c>
    </row>
    <row r="25" spans="1:2" ht="14.25">
      <c r="A25" t="s">
        <v>56</v>
      </c>
      <c r="B25">
        <v>138</v>
      </c>
    </row>
    <row r="26" spans="1:2" ht="14.25">
      <c r="A26" t="s">
        <v>57</v>
      </c>
      <c r="B26">
        <v>188</v>
      </c>
    </row>
    <row r="27" spans="1:2" ht="14.25">
      <c r="A27" t="s">
        <v>58</v>
      </c>
      <c r="B27">
        <v>205</v>
      </c>
    </row>
    <row r="28" spans="1:2" ht="14.25">
      <c r="A28" t="s">
        <v>59</v>
      </c>
      <c r="B28">
        <v>250</v>
      </c>
    </row>
    <row r="29" spans="1:2" ht="14.25">
      <c r="A29" t="s">
        <v>60</v>
      </c>
      <c r="B29">
        <v>295</v>
      </c>
    </row>
    <row r="30" spans="1:2" ht="14.25">
      <c r="A30" t="s">
        <v>61</v>
      </c>
      <c r="B30">
        <v>465</v>
      </c>
    </row>
    <row r="31" spans="1:2" ht="14.25">
      <c r="A31" t="s">
        <v>62</v>
      </c>
      <c r="B31">
        <v>1100</v>
      </c>
    </row>
    <row r="32" ht="14.25">
      <c r="A32" t="s">
        <v>103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CBB3B-0595-490A-8B69-EB1B59C3D55B}">
  <dimension ref="A1:AU41"/>
  <sheetViews>
    <sheetView tabSelected="1" workbookViewId="0" topLeftCell="A1">
      <selection activeCell="L14" sqref="L14"/>
    </sheetView>
  </sheetViews>
  <sheetFormatPr defaultColWidth="8.796875" defaultRowHeight="14.25"/>
  <cols>
    <col min="1" max="1" width="19.69921875" style="0" bestFit="1" customWidth="1"/>
    <col min="2" max="2" width="10.8984375" style="0" bestFit="1" customWidth="1"/>
    <col min="3" max="3" width="12.296875" style="0" bestFit="1" customWidth="1"/>
    <col min="4" max="4" width="14.296875" style="0" bestFit="1" customWidth="1"/>
    <col min="5" max="5" width="17.8984375" style="0" bestFit="1" customWidth="1"/>
    <col min="6" max="6" width="17.8984375" style="0" customWidth="1"/>
    <col min="7" max="7" width="32" style="0" bestFit="1" customWidth="1"/>
    <col min="8" max="8" width="13.59765625" style="0" bestFit="1" customWidth="1"/>
    <col min="9" max="9" width="16.296875" style="0" bestFit="1" customWidth="1"/>
    <col min="10" max="10" width="11.59765625" style="0" bestFit="1" customWidth="1"/>
    <col min="11" max="11" width="14" style="3" bestFit="1" customWidth="1"/>
    <col min="13" max="13" width="9.09765625" style="3" customWidth="1"/>
    <col min="14" max="14" width="13.09765625" style="0" bestFit="1" customWidth="1"/>
    <col min="15" max="15" width="11.59765625" style="0" bestFit="1" customWidth="1"/>
    <col min="16" max="16" width="14" style="3" bestFit="1" customWidth="1"/>
    <col min="18" max="18" width="9.09765625" style="3" customWidth="1"/>
    <col min="19" max="19" width="11" style="4" bestFit="1" customWidth="1"/>
    <col min="20" max="20" width="10.296875" style="4" bestFit="1" customWidth="1"/>
    <col min="21" max="21" width="15.8984375" style="4" bestFit="1" customWidth="1"/>
    <col min="22" max="22" width="16.69921875" style="4" bestFit="1" customWidth="1"/>
    <col min="23" max="23" width="14.09765625" style="3" bestFit="1" customWidth="1"/>
    <col min="24" max="24" width="13.296875" style="0" bestFit="1" customWidth="1"/>
    <col min="25" max="25" width="9.09765625" style="5" customWidth="1"/>
    <col min="26" max="26" width="9.8984375" style="4" bestFit="1" customWidth="1"/>
    <col min="27" max="27" width="9.09765625" style="6" customWidth="1"/>
    <col min="28" max="28" width="50.8984375" style="0" bestFit="1" customWidth="1"/>
    <col min="29" max="47" width="8.796875" style="0" hidden="1" customWidth="1"/>
  </cols>
  <sheetData>
    <row r="1" ht="14.25">
      <c r="A1" t="s">
        <v>0</v>
      </c>
    </row>
    <row r="3" spans="1:13" ht="14.25">
      <c r="A3" s="7" t="s">
        <v>15</v>
      </c>
      <c r="C3" s="41">
        <v>0.1</v>
      </c>
      <c r="D3" s="2"/>
      <c r="L3" s="54" t="s">
        <v>27</v>
      </c>
      <c r="M3" s="54"/>
    </row>
    <row r="4" spans="1:4" ht="14.25">
      <c r="A4" s="7" t="s">
        <v>16</v>
      </c>
      <c r="C4" s="42">
        <v>0.05</v>
      </c>
      <c r="D4" s="1" t="s">
        <v>152</v>
      </c>
    </row>
    <row r="5" spans="1:4" ht="14.25">
      <c r="A5" s="7" t="s">
        <v>24</v>
      </c>
      <c r="C5" s="42">
        <v>0.01</v>
      </c>
      <c r="D5" s="1" t="s">
        <v>151</v>
      </c>
    </row>
    <row r="6" spans="3:4" ht="15.75" thickBot="1">
      <c r="C6" s="1"/>
      <c r="D6" s="1"/>
    </row>
    <row r="7" spans="1:47" ht="14.25">
      <c r="A7" s="7"/>
      <c r="B7" s="7"/>
      <c r="C7" s="53" t="s">
        <v>98</v>
      </c>
      <c r="D7" s="53" t="s">
        <v>2</v>
      </c>
      <c r="E7" s="7"/>
      <c r="F7" s="7"/>
      <c r="G7" s="7"/>
      <c r="H7" s="53" t="s">
        <v>25</v>
      </c>
      <c r="I7" s="65" t="s">
        <v>26</v>
      </c>
      <c r="J7" s="61" t="s">
        <v>4</v>
      </c>
      <c r="K7" s="62"/>
      <c r="L7" s="62"/>
      <c r="M7" s="63"/>
      <c r="N7" s="8"/>
      <c r="O7" s="61" t="s">
        <v>7</v>
      </c>
      <c r="P7" s="62"/>
      <c r="Q7" s="62"/>
      <c r="R7" s="63"/>
      <c r="S7" s="64" t="s">
        <v>12</v>
      </c>
      <c r="T7" s="64"/>
      <c r="U7" s="9"/>
      <c r="V7" s="9"/>
      <c r="W7" s="10"/>
      <c r="X7" s="7"/>
      <c r="Y7" s="55" t="s">
        <v>32</v>
      </c>
      <c r="Z7" s="57" t="s">
        <v>33</v>
      </c>
      <c r="AA7" s="59" t="s">
        <v>34</v>
      </c>
      <c r="AB7" s="7"/>
      <c r="AI7" t="s">
        <v>23</v>
      </c>
      <c r="AT7" s="7"/>
      <c r="AU7" s="53" t="s">
        <v>98</v>
      </c>
    </row>
    <row r="8" spans="1:47" ht="15" customHeight="1">
      <c r="A8" s="7" t="s">
        <v>1</v>
      </c>
      <c r="B8" s="7" t="s">
        <v>97</v>
      </c>
      <c r="C8" s="53"/>
      <c r="D8" s="53"/>
      <c r="E8" s="7" t="s">
        <v>3</v>
      </c>
      <c r="F8" s="7" t="s">
        <v>100</v>
      </c>
      <c r="G8" s="11" t="s">
        <v>31</v>
      </c>
      <c r="H8" s="53"/>
      <c r="I8" s="65"/>
      <c r="J8" s="12" t="s">
        <v>5</v>
      </c>
      <c r="K8" s="66" t="s">
        <v>6</v>
      </c>
      <c r="L8" s="67" t="s">
        <v>11</v>
      </c>
      <c r="M8" s="13" t="s">
        <v>17</v>
      </c>
      <c r="N8" s="7" t="s">
        <v>8</v>
      </c>
      <c r="O8" s="12" t="s">
        <v>5</v>
      </c>
      <c r="P8" s="66" t="s">
        <v>6</v>
      </c>
      <c r="Q8" s="67" t="s">
        <v>11</v>
      </c>
      <c r="R8" s="13" t="s">
        <v>17</v>
      </c>
      <c r="S8" s="9" t="s">
        <v>13</v>
      </c>
      <c r="T8" s="9" t="s">
        <v>14</v>
      </c>
      <c r="U8" s="9" t="s">
        <v>9</v>
      </c>
      <c r="V8" s="9" t="s">
        <v>10</v>
      </c>
      <c r="W8" s="10" t="s">
        <v>21</v>
      </c>
      <c r="X8" s="7" t="s">
        <v>22</v>
      </c>
      <c r="Y8" s="56"/>
      <c r="Z8" s="58"/>
      <c r="AA8" s="60"/>
      <c r="AB8" s="7" t="s">
        <v>109</v>
      </c>
      <c r="AI8">
        <v>1</v>
      </c>
      <c r="AJ8">
        <v>2</v>
      </c>
      <c r="AK8">
        <v>3</v>
      </c>
      <c r="AL8">
        <v>4</v>
      </c>
      <c r="AM8">
        <v>5</v>
      </c>
      <c r="AN8">
        <v>6</v>
      </c>
      <c r="AO8">
        <v>7</v>
      </c>
      <c r="AP8">
        <v>8</v>
      </c>
      <c r="AQ8">
        <v>9</v>
      </c>
      <c r="AR8">
        <v>10</v>
      </c>
      <c r="AT8" s="7" t="s">
        <v>97</v>
      </c>
      <c r="AU8" s="53"/>
    </row>
    <row r="9" spans="1:47" ht="14.25">
      <c r="A9" s="24" t="s">
        <v>30</v>
      </c>
      <c r="B9" s="24" t="s">
        <v>65</v>
      </c>
      <c r="C9" s="24" t="s">
        <v>40</v>
      </c>
      <c r="D9" s="24" t="s">
        <v>99</v>
      </c>
      <c r="E9" s="24" t="s">
        <v>18</v>
      </c>
      <c r="F9" s="24" t="s">
        <v>101</v>
      </c>
      <c r="G9" s="24" t="s">
        <v>36</v>
      </c>
      <c r="H9" s="44" t="str">
        <f>IF(AT9=1,0,VLOOKUP(B9,'Common Assumptions'!$D$8:$E$25,2,FALSE))</f>
        <v>20-50</v>
      </c>
      <c r="I9" s="44">
        <v>44</v>
      </c>
      <c r="J9" s="72">
        <f>IF(AU9=1,0,VLOOKUP(C9,'Common Assumptions'!$A$8:$B$32,2,FALSE))</f>
        <v>56</v>
      </c>
      <c r="K9" s="73">
        <f>IF(AT9=1,0,IF(F9="Yes",8760,VLOOKUP(B9,'Common Assumptions'!$D$8:$F$24,3,FALSE)))</f>
        <v>8760</v>
      </c>
      <c r="L9" s="71">
        <v>2</v>
      </c>
      <c r="M9" s="74">
        <f>J9*K9*L9/1000</f>
        <v>981.12</v>
      </c>
      <c r="N9" s="44" t="s">
        <v>19</v>
      </c>
      <c r="O9" s="72">
        <v>20</v>
      </c>
      <c r="P9" s="73">
        <v>3100</v>
      </c>
      <c r="Q9" s="68">
        <v>2</v>
      </c>
      <c r="R9" s="26">
        <f>O9*P9*Q9/1000</f>
        <v>124</v>
      </c>
      <c r="S9" s="27">
        <v>160</v>
      </c>
      <c r="T9" s="27">
        <v>80</v>
      </c>
      <c r="U9" s="27">
        <v>0</v>
      </c>
      <c r="V9" s="27">
        <f>(S9+T9)*Q9+U9</f>
        <v>480</v>
      </c>
      <c r="W9" s="25">
        <f>M9-R9</f>
        <v>857.12</v>
      </c>
      <c r="X9" s="27">
        <f>W9*$C$3</f>
        <v>85.712</v>
      </c>
      <c r="Y9" s="29">
        <f>V9/X9</f>
        <v>5.600149337315662</v>
      </c>
      <c r="Z9" s="27">
        <f>NPV($C$4,AI9:AR9)</f>
        <v>226.5138537530397</v>
      </c>
      <c r="AA9" s="43">
        <f>IRR(AI9:AR9)</f>
        <v>0.16912328764877405</v>
      </c>
      <c r="AB9" s="44" t="s">
        <v>110</v>
      </c>
      <c r="AC9" s="44"/>
      <c r="AD9" s="44"/>
      <c r="AE9" s="44"/>
      <c r="AF9" s="44"/>
      <c r="AG9" s="44"/>
      <c r="AI9" s="28">
        <f>-V9+X9</f>
        <v>-394.288</v>
      </c>
      <c r="AJ9" s="28">
        <f>X9</f>
        <v>85.712</v>
      </c>
      <c r="AK9" s="28">
        <f>AJ9*(1+$C$5)</f>
        <v>86.56912</v>
      </c>
      <c r="AL9" s="28">
        <f aca="true" t="shared" si="0" ref="AL9:AR10">AK9*(1+$C$5)</f>
        <v>87.4348112</v>
      </c>
      <c r="AM9" s="28">
        <f t="shared" si="0"/>
        <v>88.309159312</v>
      </c>
      <c r="AN9" s="28">
        <f t="shared" si="0"/>
        <v>89.19225090512</v>
      </c>
      <c r="AO9" s="28">
        <f t="shared" si="0"/>
        <v>90.0841734141712</v>
      </c>
      <c r="AP9" s="28">
        <f t="shared" si="0"/>
        <v>90.98501514831291</v>
      </c>
      <c r="AQ9" s="28">
        <f t="shared" si="0"/>
        <v>91.89486529979604</v>
      </c>
      <c r="AR9" s="28">
        <f t="shared" si="0"/>
        <v>92.81381395279399</v>
      </c>
      <c r="AS9" s="2"/>
      <c r="AT9">
        <f aca="true" t="shared" si="1" ref="AT9:AU40">COUNTBLANK(B9)</f>
        <v>0</v>
      </c>
      <c r="AU9">
        <f t="shared" si="1"/>
        <v>0</v>
      </c>
    </row>
    <row r="10" spans="1:47" ht="14.25">
      <c r="A10" s="24" t="s">
        <v>29</v>
      </c>
      <c r="B10" s="24" t="s">
        <v>65</v>
      </c>
      <c r="C10" s="24" t="s">
        <v>40</v>
      </c>
      <c r="D10" s="24" t="s">
        <v>99</v>
      </c>
      <c r="E10" s="24"/>
      <c r="F10" s="24" t="s">
        <v>102</v>
      </c>
      <c r="G10" s="24" t="s">
        <v>35</v>
      </c>
      <c r="H10" s="44" t="str">
        <f>IF(AT10=1,0,VLOOKUP(B10,'Common Assumptions'!$D$8:$E$25,2,FALSE))</f>
        <v>20-50</v>
      </c>
      <c r="I10" s="44">
        <v>44</v>
      </c>
      <c r="J10" s="72">
        <f>IF(AU10=1,0,VLOOKUP(C10,'Common Assumptions'!$A$8:$B$32,2,FALSE))</f>
        <v>56</v>
      </c>
      <c r="K10" s="73">
        <f>IF(AT10=1,0,IF(F10="Yes",8760,VLOOKUP(B10,'Common Assumptions'!$D$8:$F$24,3,FALSE)))</f>
        <v>3100</v>
      </c>
      <c r="L10" s="71">
        <v>6</v>
      </c>
      <c r="M10" s="74">
        <f aca="true" t="shared" si="2" ref="M10:M11">J10*K10*L10/1000</f>
        <v>1041.6</v>
      </c>
      <c r="N10" s="44" t="s">
        <v>20</v>
      </c>
      <c r="O10" s="72">
        <v>20</v>
      </c>
      <c r="P10" s="73">
        <f>IF(AT10=1,0,IF(F10="Yes",8760,VLOOKUP(B10,'Common Assumptions'!$D$8:$F$24,3,FALSE)))</f>
        <v>3100</v>
      </c>
      <c r="Q10" s="71">
        <v>6</v>
      </c>
      <c r="R10" s="26">
        <f>O10*P10*Q10/1000</f>
        <v>372</v>
      </c>
      <c r="S10" s="27">
        <v>60</v>
      </c>
      <c r="T10" s="27">
        <v>40</v>
      </c>
      <c r="U10" s="27">
        <v>0</v>
      </c>
      <c r="V10" s="27">
        <f>(S10+T10)*Q10+U10</f>
        <v>600</v>
      </c>
      <c r="W10" s="25">
        <f>M10-R10</f>
        <v>669.5999999999999</v>
      </c>
      <c r="X10" s="27">
        <f>W10*$C$3</f>
        <v>66.96</v>
      </c>
      <c r="Y10" s="29">
        <f>V10/X10</f>
        <v>8.96057347670251</v>
      </c>
      <c r="Z10" s="27">
        <f>NPV($C$4,AI10:AR10)</f>
        <v>-37.34170656030038</v>
      </c>
      <c r="AA10" s="30">
        <f>IRR(AI10:AR10)</f>
        <v>0.033400254304059906</v>
      </c>
      <c r="AB10" s="44"/>
      <c r="AC10" s="44"/>
      <c r="AD10" s="44"/>
      <c r="AE10" s="44"/>
      <c r="AF10" s="44"/>
      <c r="AG10" s="44"/>
      <c r="AI10" s="28">
        <f>-V10+X10</f>
        <v>-533.04</v>
      </c>
      <c r="AJ10" s="28">
        <f>X10</f>
        <v>66.96</v>
      </c>
      <c r="AK10" s="28">
        <f>AJ10*(1+$C$5)</f>
        <v>67.6296</v>
      </c>
      <c r="AL10" s="28">
        <f t="shared" si="0"/>
        <v>68.30589599999999</v>
      </c>
      <c r="AM10" s="28">
        <f t="shared" si="0"/>
        <v>68.98895495999999</v>
      </c>
      <c r="AN10" s="28">
        <f t="shared" si="0"/>
        <v>69.67884450959998</v>
      </c>
      <c r="AO10" s="28">
        <f t="shared" si="0"/>
        <v>70.37563295469599</v>
      </c>
      <c r="AP10" s="28">
        <f t="shared" si="0"/>
        <v>71.07938928424295</v>
      </c>
      <c r="AQ10" s="28">
        <f t="shared" si="0"/>
        <v>71.79018317708538</v>
      </c>
      <c r="AR10" s="28">
        <f t="shared" si="0"/>
        <v>72.50808500885624</v>
      </c>
      <c r="AS10" s="2"/>
      <c r="AT10">
        <f t="shared" si="1"/>
        <v>0</v>
      </c>
      <c r="AU10">
        <f t="shared" si="1"/>
        <v>0</v>
      </c>
    </row>
    <row r="11" spans="8:47" ht="14.25">
      <c r="H11">
        <f>IF(AT11=1,0,VLOOKUP(B11,'Common Assumptions'!$D$8:$E$25,2,FALSE))</f>
        <v>0</v>
      </c>
      <c r="J11" s="37">
        <f>IF(AU11=1,0,VLOOKUP(C11,'Common Assumptions'!$A$8:$B$32,2,FALSE))</f>
        <v>0</v>
      </c>
      <c r="K11" s="69">
        <f>IF(AT11=1,0,IF(F11="Yes",8760,VLOOKUP(B11,'Common Assumptions'!$D$8:$F$24,3,FALSE)))</f>
        <v>0</v>
      </c>
      <c r="L11" s="70"/>
      <c r="M11" s="15">
        <f t="shared" si="2"/>
        <v>0</v>
      </c>
      <c r="O11" s="37"/>
      <c r="P11" s="69">
        <f>IF(AT11=1,0,IF(F11="Yes",8760,VLOOKUP(B11,'Common Assumptions'!$D$8:$F$24,3,FALSE)))</f>
        <v>0</v>
      </c>
      <c r="Q11" s="70"/>
      <c r="R11" s="15">
        <f>O11*P11*Q11/1000</f>
        <v>0</v>
      </c>
      <c r="V11" s="17">
        <f>(S11+T11)*Q11+U11</f>
        <v>0</v>
      </c>
      <c r="W11" s="18">
        <f>M11-R11</f>
        <v>0</v>
      </c>
      <c r="X11" s="17">
        <f>W11*$C$3</f>
        <v>0</v>
      </c>
      <c r="Y11" s="19" t="e">
        <f>V11/X11</f>
        <v>#DIV/0!</v>
      </c>
      <c r="Z11" s="17">
        <f>NPV($C$4,AI11:AR11)</f>
        <v>0</v>
      </c>
      <c r="AA11" s="20" t="e">
        <f>IRR(AI11:AR11)</f>
        <v>#NUM!</v>
      </c>
      <c r="AI11" s="31">
        <f>-V11+X11</f>
        <v>0</v>
      </c>
      <c r="AJ11" s="31">
        <f>X11</f>
        <v>0</v>
      </c>
      <c r="AK11" s="31">
        <f>AJ11*(1+$C$5)</f>
        <v>0</v>
      </c>
      <c r="AL11" s="31">
        <f aca="true" t="shared" si="3" ref="AL11">AK11*(1+$C$5)</f>
        <v>0</v>
      </c>
      <c r="AM11" s="31">
        <f aca="true" t="shared" si="4" ref="AM11">AL11*(1+$C$5)</f>
        <v>0</v>
      </c>
      <c r="AN11" s="31">
        <f aca="true" t="shared" si="5" ref="AN11">AM11*(1+$C$5)</f>
        <v>0</v>
      </c>
      <c r="AO11" s="31">
        <f aca="true" t="shared" si="6" ref="AO11">AN11*(1+$C$5)</f>
        <v>0</v>
      </c>
      <c r="AP11" s="31">
        <f aca="true" t="shared" si="7" ref="AP11">AO11*(1+$C$5)</f>
        <v>0</v>
      </c>
      <c r="AQ11" s="31">
        <f aca="true" t="shared" si="8" ref="AQ11">AP11*(1+$C$5)</f>
        <v>0</v>
      </c>
      <c r="AR11" s="31">
        <f aca="true" t="shared" si="9" ref="AR11">AQ11*(1+$C$5)</f>
        <v>0</v>
      </c>
      <c r="AT11">
        <f>COUNTBLANK(B11)</f>
        <v>1</v>
      </c>
      <c r="AU11">
        <f>COUNTBLANK(C11)</f>
        <v>1</v>
      </c>
    </row>
    <row r="12" spans="8:47" ht="14.25">
      <c r="H12">
        <f>IF(AT12=1,0,VLOOKUP(B12,'Common Assumptions'!$D$8:$E$25,2,FALSE))</f>
        <v>0</v>
      </c>
      <c r="J12" s="37">
        <f>IF(AU12=1,0,VLOOKUP(C12,'Common Assumptions'!$A$8:$B$32,2,FALSE))</f>
        <v>0</v>
      </c>
      <c r="K12" s="69">
        <f>IF(AT12=1,0,IF(F12="Yes",8760,VLOOKUP(B12,'Common Assumptions'!$D$8:$F$24,3,FALSE)))</f>
        <v>0</v>
      </c>
      <c r="L12" s="70"/>
      <c r="M12" s="15">
        <f aca="true" t="shared" si="10" ref="M12:M40">J12*K12*L12/1000</f>
        <v>0</v>
      </c>
      <c r="O12" s="37"/>
      <c r="P12" s="69">
        <f>IF(AT12=1,0,IF(F12="Yes",8760,VLOOKUP(B12,'Common Assumptions'!$D$8:$F$24,3,FALSE)))</f>
        <v>0</v>
      </c>
      <c r="Q12" s="70"/>
      <c r="R12" s="15">
        <f aca="true" t="shared" si="11" ref="R12:R40">O12*P12*Q12/1000</f>
        <v>0</v>
      </c>
      <c r="V12" s="17">
        <f aca="true" t="shared" si="12" ref="V12:V40">(S12+T12)*Q12+U12</f>
        <v>0</v>
      </c>
      <c r="W12" s="18">
        <f aca="true" t="shared" si="13" ref="W12:W40">M12-R12</f>
        <v>0</v>
      </c>
      <c r="X12" s="17">
        <f aca="true" t="shared" si="14" ref="X12:X40">W12*$C$3</f>
        <v>0</v>
      </c>
      <c r="Y12" s="19" t="e">
        <f aca="true" t="shared" si="15" ref="Y12:Y40">V12/X12</f>
        <v>#DIV/0!</v>
      </c>
      <c r="Z12" s="17">
        <f aca="true" t="shared" si="16" ref="Z12:Z39">NPV($C$4,AI12:AR12)</f>
        <v>0</v>
      </c>
      <c r="AA12" s="20" t="e">
        <f aca="true" t="shared" si="17" ref="AA12:AA39">IRR(AI12:AR12)</f>
        <v>#NUM!</v>
      </c>
      <c r="AI12" s="31">
        <f aca="true" t="shared" si="18" ref="AI12:AI40">-V12+X12</f>
        <v>0</v>
      </c>
      <c r="AJ12" s="31">
        <f aca="true" t="shared" si="19" ref="AJ12:AJ40">X12</f>
        <v>0</v>
      </c>
      <c r="AK12" s="31">
        <f aca="true" t="shared" si="20" ref="AK12:AK41">AJ12*(1+$C$5)</f>
        <v>0</v>
      </c>
      <c r="AL12" s="31">
        <f aca="true" t="shared" si="21" ref="AL12:AL40">AK12*(1+$C$5)</f>
        <v>0</v>
      </c>
      <c r="AM12" s="31">
        <f aca="true" t="shared" si="22" ref="AM12:AM40">AL12*(1+$C$5)</f>
        <v>0</v>
      </c>
      <c r="AN12" s="31">
        <f aca="true" t="shared" si="23" ref="AN12:AN40">AM12*(1+$C$5)</f>
        <v>0</v>
      </c>
      <c r="AO12" s="31">
        <f aca="true" t="shared" si="24" ref="AO12:AO40">AN12*(1+$C$5)</f>
        <v>0</v>
      </c>
      <c r="AP12" s="31">
        <f aca="true" t="shared" si="25" ref="AP12:AP40">AO12*(1+$C$5)</f>
        <v>0</v>
      </c>
      <c r="AQ12" s="31">
        <f aca="true" t="shared" si="26" ref="AQ12:AQ40">AP12*(1+$C$5)</f>
        <v>0</v>
      </c>
      <c r="AR12" s="31">
        <f aca="true" t="shared" si="27" ref="AR12:AR40">AQ12*(1+$C$5)</f>
        <v>0</v>
      </c>
      <c r="AT12">
        <f aca="true" t="shared" si="28" ref="AT12:AU40">COUNTBLANK(B12)</f>
        <v>1</v>
      </c>
      <c r="AU12">
        <f t="shared" si="28"/>
        <v>1</v>
      </c>
    </row>
    <row r="13" spans="8:47" ht="14.25">
      <c r="H13">
        <f>IF(AT13=1,0,VLOOKUP(B13,'Common Assumptions'!$D$8:$E$25,2,FALSE))</f>
        <v>0</v>
      </c>
      <c r="J13" s="37">
        <f>_xlfn.XLOOKUP(C13,'Common Assumptions'!$A$8:$A$31,'Common Assumptions'!$B$8:$B$31,0)</f>
        <v>0</v>
      </c>
      <c r="K13" s="69">
        <f>IF(AT13=1,0,IF(F13="Yes",8760,VLOOKUP(B13,'Common Assumptions'!$D$8:$F$24,3,FALSE)))</f>
        <v>0</v>
      </c>
      <c r="L13" s="70"/>
      <c r="M13" s="15">
        <f t="shared" si="10"/>
        <v>0</v>
      </c>
      <c r="O13" s="37"/>
      <c r="P13" s="69">
        <f>IF(AT13=1,0,IF(F13="Yes",8760,VLOOKUP(B13,'Common Assumptions'!$D$8:$F$24,3,FALSE)))</f>
        <v>0</v>
      </c>
      <c r="Q13" s="70"/>
      <c r="R13" s="15">
        <f t="shared" si="11"/>
        <v>0</v>
      </c>
      <c r="V13" s="17">
        <f t="shared" si="12"/>
        <v>0</v>
      </c>
      <c r="W13" s="18">
        <f t="shared" si="13"/>
        <v>0</v>
      </c>
      <c r="X13" s="17">
        <f t="shared" si="14"/>
        <v>0</v>
      </c>
      <c r="Y13" s="19" t="e">
        <f t="shared" si="15"/>
        <v>#DIV/0!</v>
      </c>
      <c r="Z13" s="17">
        <f t="shared" si="16"/>
        <v>0</v>
      </c>
      <c r="AA13" s="20" t="e">
        <f t="shared" si="17"/>
        <v>#NUM!</v>
      </c>
      <c r="AI13" s="31">
        <f t="shared" si="18"/>
        <v>0</v>
      </c>
      <c r="AJ13" s="31">
        <f t="shared" si="19"/>
        <v>0</v>
      </c>
      <c r="AK13" s="31">
        <f t="shared" si="20"/>
        <v>0</v>
      </c>
      <c r="AL13" s="31">
        <f t="shared" si="21"/>
        <v>0</v>
      </c>
      <c r="AM13" s="31">
        <f t="shared" si="22"/>
        <v>0</v>
      </c>
      <c r="AN13" s="31">
        <f t="shared" si="23"/>
        <v>0</v>
      </c>
      <c r="AO13" s="31">
        <f t="shared" si="24"/>
        <v>0</v>
      </c>
      <c r="AP13" s="31">
        <f t="shared" si="25"/>
        <v>0</v>
      </c>
      <c r="AQ13" s="31">
        <f t="shared" si="26"/>
        <v>0</v>
      </c>
      <c r="AR13" s="31">
        <f t="shared" si="27"/>
        <v>0</v>
      </c>
      <c r="AT13">
        <f t="shared" si="28"/>
        <v>1</v>
      </c>
      <c r="AU13">
        <f t="shared" si="28"/>
        <v>1</v>
      </c>
    </row>
    <row r="14" spans="8:47" ht="14.25">
      <c r="H14">
        <f>IF(AT14=1,0,VLOOKUP(B14,'Common Assumptions'!$D$8:$E$25,2,FALSE))</f>
        <v>0</v>
      </c>
      <c r="J14" s="37">
        <f>_xlfn.XLOOKUP(C14,'Common Assumptions'!$A$8:$A$31,'Common Assumptions'!$B$8:$B$31,0)</f>
        <v>0</v>
      </c>
      <c r="K14" s="69">
        <f>IF(AT14=1,0,IF(F14="Yes",8760,VLOOKUP(B14,'Common Assumptions'!$D$8:$F$24,3,FALSE)))</f>
        <v>0</v>
      </c>
      <c r="L14" s="70"/>
      <c r="M14" s="15">
        <f aca="true" t="shared" si="29" ref="M14:M40">J14*K14*L14/1000</f>
        <v>0</v>
      </c>
      <c r="O14" s="37"/>
      <c r="P14" s="69">
        <f>IF(AT14=1,0,IF(F14="Yes",8760,VLOOKUP(B14,'Common Assumptions'!$D$8:$F$24,3,FALSE)))</f>
        <v>0</v>
      </c>
      <c r="Q14" s="70"/>
      <c r="R14" s="15">
        <f t="shared" si="11"/>
        <v>0</v>
      </c>
      <c r="V14" s="17">
        <f t="shared" si="12"/>
        <v>0</v>
      </c>
      <c r="W14" s="18">
        <f t="shared" si="13"/>
        <v>0</v>
      </c>
      <c r="X14" s="17">
        <f t="shared" si="14"/>
        <v>0</v>
      </c>
      <c r="Y14" s="19" t="e">
        <f t="shared" si="15"/>
        <v>#DIV/0!</v>
      </c>
      <c r="Z14" s="17">
        <f t="shared" si="16"/>
        <v>0</v>
      </c>
      <c r="AA14" s="20" t="e">
        <f t="shared" si="17"/>
        <v>#NUM!</v>
      </c>
      <c r="AI14" s="31">
        <f t="shared" si="18"/>
        <v>0</v>
      </c>
      <c r="AJ14" s="31">
        <f t="shared" si="19"/>
        <v>0</v>
      </c>
      <c r="AK14" s="31">
        <f t="shared" si="20"/>
        <v>0</v>
      </c>
      <c r="AL14" s="31">
        <f t="shared" si="21"/>
        <v>0</v>
      </c>
      <c r="AM14" s="31">
        <f t="shared" si="22"/>
        <v>0</v>
      </c>
      <c r="AN14" s="31">
        <f t="shared" si="23"/>
        <v>0</v>
      </c>
      <c r="AO14" s="31">
        <f t="shared" si="24"/>
        <v>0</v>
      </c>
      <c r="AP14" s="31">
        <f t="shared" si="25"/>
        <v>0</v>
      </c>
      <c r="AQ14" s="31">
        <f t="shared" si="26"/>
        <v>0</v>
      </c>
      <c r="AR14" s="31">
        <f t="shared" si="27"/>
        <v>0</v>
      </c>
      <c r="AT14">
        <f t="shared" si="28"/>
        <v>1</v>
      </c>
      <c r="AU14">
        <f t="shared" si="28"/>
        <v>1</v>
      </c>
    </row>
    <row r="15" spans="8:47" ht="14.25">
      <c r="H15">
        <f>IF(AT15=1,0,VLOOKUP(B15,'Common Assumptions'!$D$8:$E$25,2,FALSE))</f>
        <v>0</v>
      </c>
      <c r="J15" s="37">
        <f>_xlfn.XLOOKUP(C15,'Common Assumptions'!$A$8:$A$31,'Common Assumptions'!$B$8:$B$31,0)</f>
        <v>0</v>
      </c>
      <c r="K15" s="69">
        <f>IF(AT15=1,0,IF(F15="Yes",8760,VLOOKUP(B15,'Common Assumptions'!$D$8:$F$24,3,FALSE)))</f>
        <v>0</v>
      </c>
      <c r="L15" s="70"/>
      <c r="M15" s="15">
        <f t="shared" si="29"/>
        <v>0</v>
      </c>
      <c r="O15" s="37"/>
      <c r="P15" s="69">
        <f>IF(AT15=1,0,IF(F15="Yes",8760,VLOOKUP(B15,'Common Assumptions'!$D$8:$F$24,3,FALSE)))</f>
        <v>0</v>
      </c>
      <c r="Q15" s="70"/>
      <c r="R15" s="15">
        <f t="shared" si="11"/>
        <v>0</v>
      </c>
      <c r="V15" s="17">
        <f t="shared" si="12"/>
        <v>0</v>
      </c>
      <c r="W15" s="18">
        <f t="shared" si="13"/>
        <v>0</v>
      </c>
      <c r="X15" s="17">
        <f t="shared" si="14"/>
        <v>0</v>
      </c>
      <c r="Y15" s="19" t="e">
        <f t="shared" si="15"/>
        <v>#DIV/0!</v>
      </c>
      <c r="Z15" s="17">
        <f t="shared" si="16"/>
        <v>0</v>
      </c>
      <c r="AA15" s="20" t="e">
        <f t="shared" si="17"/>
        <v>#NUM!</v>
      </c>
      <c r="AI15" s="31">
        <f t="shared" si="18"/>
        <v>0</v>
      </c>
      <c r="AJ15" s="31">
        <f t="shared" si="19"/>
        <v>0</v>
      </c>
      <c r="AK15" s="31">
        <f t="shared" si="20"/>
        <v>0</v>
      </c>
      <c r="AL15" s="31">
        <f t="shared" si="21"/>
        <v>0</v>
      </c>
      <c r="AM15" s="31">
        <f t="shared" si="22"/>
        <v>0</v>
      </c>
      <c r="AN15" s="31">
        <f t="shared" si="23"/>
        <v>0</v>
      </c>
      <c r="AO15" s="31">
        <f t="shared" si="24"/>
        <v>0</v>
      </c>
      <c r="AP15" s="31">
        <f t="shared" si="25"/>
        <v>0</v>
      </c>
      <c r="AQ15" s="31">
        <f t="shared" si="26"/>
        <v>0</v>
      </c>
      <c r="AR15" s="31">
        <f t="shared" si="27"/>
        <v>0</v>
      </c>
      <c r="AT15">
        <f t="shared" si="28"/>
        <v>1</v>
      </c>
      <c r="AU15">
        <f t="shared" si="28"/>
        <v>1</v>
      </c>
    </row>
    <row r="16" spans="8:47" ht="14.25">
      <c r="H16">
        <f>IF(AT16=1,0,VLOOKUP(B16,'Common Assumptions'!$D$8:$E$25,2,FALSE))</f>
        <v>0</v>
      </c>
      <c r="J16" s="37">
        <f>_xlfn.XLOOKUP(C16,'Common Assumptions'!$A$8:$A$31,'Common Assumptions'!$B$8:$B$31,0)</f>
        <v>0</v>
      </c>
      <c r="K16" s="69">
        <f>IF(AT16=1,0,IF(F16="Yes",8760,VLOOKUP(B16,'Common Assumptions'!$D$8:$F$24,3,FALSE)))</f>
        <v>0</v>
      </c>
      <c r="L16" s="70"/>
      <c r="M16" s="15">
        <f t="shared" si="29"/>
        <v>0</v>
      </c>
      <c r="O16" s="37"/>
      <c r="P16" s="69">
        <f>IF(AT16=1,0,IF(F16="Yes",8760,VLOOKUP(B16,'Common Assumptions'!$D$8:$F$24,3,FALSE)))</f>
        <v>0</v>
      </c>
      <c r="Q16" s="70"/>
      <c r="R16" s="15">
        <f t="shared" si="11"/>
        <v>0</v>
      </c>
      <c r="V16" s="17">
        <f t="shared" si="12"/>
        <v>0</v>
      </c>
      <c r="W16" s="18">
        <f t="shared" si="13"/>
        <v>0</v>
      </c>
      <c r="X16" s="17">
        <f t="shared" si="14"/>
        <v>0</v>
      </c>
      <c r="Y16" s="19" t="e">
        <f t="shared" si="15"/>
        <v>#DIV/0!</v>
      </c>
      <c r="Z16" s="17">
        <f t="shared" si="16"/>
        <v>0</v>
      </c>
      <c r="AA16" s="20" t="e">
        <f t="shared" si="17"/>
        <v>#NUM!</v>
      </c>
      <c r="AI16" s="31">
        <f t="shared" si="18"/>
        <v>0</v>
      </c>
      <c r="AJ16" s="31">
        <f t="shared" si="19"/>
        <v>0</v>
      </c>
      <c r="AK16" s="31">
        <f t="shared" si="20"/>
        <v>0</v>
      </c>
      <c r="AL16" s="31">
        <f t="shared" si="21"/>
        <v>0</v>
      </c>
      <c r="AM16" s="31">
        <f t="shared" si="22"/>
        <v>0</v>
      </c>
      <c r="AN16" s="31">
        <f t="shared" si="23"/>
        <v>0</v>
      </c>
      <c r="AO16" s="31">
        <f t="shared" si="24"/>
        <v>0</v>
      </c>
      <c r="AP16" s="31">
        <f t="shared" si="25"/>
        <v>0</v>
      </c>
      <c r="AQ16" s="31">
        <f t="shared" si="26"/>
        <v>0</v>
      </c>
      <c r="AR16" s="31">
        <f t="shared" si="27"/>
        <v>0</v>
      </c>
      <c r="AT16">
        <f t="shared" si="28"/>
        <v>1</v>
      </c>
      <c r="AU16">
        <f t="shared" si="28"/>
        <v>1</v>
      </c>
    </row>
    <row r="17" spans="8:47" ht="14.25">
      <c r="H17">
        <f>IF(AT17=1,0,VLOOKUP(B17,'Common Assumptions'!$D$8:$E$25,2,FALSE))</f>
        <v>0</v>
      </c>
      <c r="J17" s="37">
        <f>_xlfn.XLOOKUP(C17,'Common Assumptions'!$A$8:$A$31,'Common Assumptions'!$B$8:$B$31,0)</f>
        <v>0</v>
      </c>
      <c r="K17" s="69">
        <f>IF(AT17=1,0,IF(F17="Yes",8760,VLOOKUP(B17,'Common Assumptions'!$D$8:$F$24,3,FALSE)))</f>
        <v>0</v>
      </c>
      <c r="L17" s="70"/>
      <c r="M17" s="15">
        <f t="shared" si="29"/>
        <v>0</v>
      </c>
      <c r="O17" s="37"/>
      <c r="P17" s="69">
        <f>IF(AT17=1,0,IF(F17="Yes",8760,VLOOKUP(B17,'Common Assumptions'!$D$8:$F$24,3,FALSE)))</f>
        <v>0</v>
      </c>
      <c r="Q17" s="70"/>
      <c r="R17" s="15">
        <f t="shared" si="11"/>
        <v>0</v>
      </c>
      <c r="V17" s="17">
        <f t="shared" si="12"/>
        <v>0</v>
      </c>
      <c r="W17" s="18">
        <f t="shared" si="13"/>
        <v>0</v>
      </c>
      <c r="X17" s="17">
        <f t="shared" si="14"/>
        <v>0</v>
      </c>
      <c r="Y17" s="19" t="e">
        <f t="shared" si="15"/>
        <v>#DIV/0!</v>
      </c>
      <c r="Z17" s="17">
        <f t="shared" si="16"/>
        <v>0</v>
      </c>
      <c r="AA17" s="20" t="e">
        <f t="shared" si="17"/>
        <v>#NUM!</v>
      </c>
      <c r="AI17" s="31">
        <f t="shared" si="18"/>
        <v>0</v>
      </c>
      <c r="AJ17" s="31">
        <f t="shared" si="19"/>
        <v>0</v>
      </c>
      <c r="AK17" s="31">
        <f t="shared" si="20"/>
        <v>0</v>
      </c>
      <c r="AL17" s="31">
        <f t="shared" si="21"/>
        <v>0</v>
      </c>
      <c r="AM17" s="31">
        <f t="shared" si="22"/>
        <v>0</v>
      </c>
      <c r="AN17" s="31">
        <f t="shared" si="23"/>
        <v>0</v>
      </c>
      <c r="AO17" s="31">
        <f t="shared" si="24"/>
        <v>0</v>
      </c>
      <c r="AP17" s="31">
        <f t="shared" si="25"/>
        <v>0</v>
      </c>
      <c r="AQ17" s="31">
        <f t="shared" si="26"/>
        <v>0</v>
      </c>
      <c r="AR17" s="31">
        <f t="shared" si="27"/>
        <v>0</v>
      </c>
      <c r="AT17">
        <f t="shared" si="28"/>
        <v>1</v>
      </c>
      <c r="AU17">
        <f t="shared" si="28"/>
        <v>1</v>
      </c>
    </row>
    <row r="18" spans="8:47" ht="14.25">
      <c r="H18">
        <f>IF(AT18=1,0,VLOOKUP(B18,'Common Assumptions'!$D$8:$E$25,2,FALSE))</f>
        <v>0</v>
      </c>
      <c r="J18" s="37">
        <f>_xlfn.XLOOKUP(C18,'Common Assumptions'!$A$8:$A$31,'Common Assumptions'!$B$8:$B$31,0)</f>
        <v>0</v>
      </c>
      <c r="K18" s="69">
        <f>IF(AT18=1,0,IF(F18="Yes",8760,VLOOKUP(B18,'Common Assumptions'!$D$8:$F$24,3,FALSE)))</f>
        <v>0</v>
      </c>
      <c r="L18" s="70"/>
      <c r="M18" s="15">
        <f t="shared" si="29"/>
        <v>0</v>
      </c>
      <c r="O18" s="37"/>
      <c r="P18" s="69">
        <f>IF(AT18=1,0,IF(F18="Yes",8760,VLOOKUP(B18,'Common Assumptions'!$D$8:$F$24,3,FALSE)))</f>
        <v>0</v>
      </c>
      <c r="Q18" s="70"/>
      <c r="R18" s="15">
        <f t="shared" si="11"/>
        <v>0</v>
      </c>
      <c r="V18" s="17">
        <f t="shared" si="12"/>
        <v>0</v>
      </c>
      <c r="W18" s="18">
        <f t="shared" si="13"/>
        <v>0</v>
      </c>
      <c r="X18" s="17">
        <f t="shared" si="14"/>
        <v>0</v>
      </c>
      <c r="Y18" s="19" t="e">
        <f t="shared" si="15"/>
        <v>#DIV/0!</v>
      </c>
      <c r="Z18" s="17">
        <f t="shared" si="16"/>
        <v>0</v>
      </c>
      <c r="AA18" s="20" t="e">
        <f t="shared" si="17"/>
        <v>#NUM!</v>
      </c>
      <c r="AI18" s="31">
        <f t="shared" si="18"/>
        <v>0</v>
      </c>
      <c r="AJ18" s="31">
        <f t="shared" si="19"/>
        <v>0</v>
      </c>
      <c r="AK18" s="31">
        <f t="shared" si="20"/>
        <v>0</v>
      </c>
      <c r="AL18" s="31">
        <f t="shared" si="21"/>
        <v>0</v>
      </c>
      <c r="AM18" s="31">
        <f t="shared" si="22"/>
        <v>0</v>
      </c>
      <c r="AN18" s="31">
        <f t="shared" si="23"/>
        <v>0</v>
      </c>
      <c r="AO18" s="31">
        <f t="shared" si="24"/>
        <v>0</v>
      </c>
      <c r="AP18" s="31">
        <f t="shared" si="25"/>
        <v>0</v>
      </c>
      <c r="AQ18" s="31">
        <f t="shared" si="26"/>
        <v>0</v>
      </c>
      <c r="AR18" s="31">
        <f t="shared" si="27"/>
        <v>0</v>
      </c>
      <c r="AT18">
        <f t="shared" si="28"/>
        <v>1</v>
      </c>
      <c r="AU18">
        <f t="shared" si="28"/>
        <v>1</v>
      </c>
    </row>
    <row r="19" spans="8:47" ht="14.25">
      <c r="H19">
        <f>IF(AT19=1,0,VLOOKUP(B19,'Common Assumptions'!$D$8:$E$25,2,FALSE))</f>
        <v>0</v>
      </c>
      <c r="J19" s="37">
        <f>_xlfn.XLOOKUP(C19,'Common Assumptions'!$A$8:$A$31,'Common Assumptions'!$B$8:$B$31,0)</f>
        <v>0</v>
      </c>
      <c r="K19" s="69">
        <f>IF(AT19=1,0,IF(F19="Yes",8760,VLOOKUP(B19,'Common Assumptions'!$D$8:$F$24,3,FALSE)))</f>
        <v>0</v>
      </c>
      <c r="L19" s="70"/>
      <c r="M19" s="15">
        <f t="shared" si="29"/>
        <v>0</v>
      </c>
      <c r="O19" s="37"/>
      <c r="P19" s="69">
        <f>IF(AT19=1,0,IF(F19="Yes",8760,VLOOKUP(B19,'Common Assumptions'!$D$8:$F$24,3,FALSE)))</f>
        <v>0</v>
      </c>
      <c r="Q19" s="70"/>
      <c r="R19" s="15">
        <f t="shared" si="11"/>
        <v>0</v>
      </c>
      <c r="V19" s="17">
        <f t="shared" si="12"/>
        <v>0</v>
      </c>
      <c r="W19" s="18">
        <f t="shared" si="13"/>
        <v>0</v>
      </c>
      <c r="X19" s="17">
        <f t="shared" si="14"/>
        <v>0</v>
      </c>
      <c r="Y19" s="19" t="e">
        <f t="shared" si="15"/>
        <v>#DIV/0!</v>
      </c>
      <c r="Z19" s="17">
        <f t="shared" si="16"/>
        <v>0</v>
      </c>
      <c r="AA19" s="20" t="e">
        <f t="shared" si="17"/>
        <v>#NUM!</v>
      </c>
      <c r="AI19" s="31">
        <f t="shared" si="18"/>
        <v>0</v>
      </c>
      <c r="AJ19" s="31">
        <f t="shared" si="19"/>
        <v>0</v>
      </c>
      <c r="AK19" s="31">
        <f t="shared" si="20"/>
        <v>0</v>
      </c>
      <c r="AL19" s="31">
        <f t="shared" si="21"/>
        <v>0</v>
      </c>
      <c r="AM19" s="31">
        <f t="shared" si="22"/>
        <v>0</v>
      </c>
      <c r="AN19" s="31">
        <f t="shared" si="23"/>
        <v>0</v>
      </c>
      <c r="AO19" s="31">
        <f t="shared" si="24"/>
        <v>0</v>
      </c>
      <c r="AP19" s="31">
        <f t="shared" si="25"/>
        <v>0</v>
      </c>
      <c r="AQ19" s="31">
        <f t="shared" si="26"/>
        <v>0</v>
      </c>
      <c r="AR19" s="31">
        <f t="shared" si="27"/>
        <v>0</v>
      </c>
      <c r="AT19">
        <f t="shared" si="28"/>
        <v>1</v>
      </c>
      <c r="AU19">
        <f t="shared" si="28"/>
        <v>1</v>
      </c>
    </row>
    <row r="20" spans="8:47" ht="14.25">
      <c r="H20">
        <f>IF(AT20=1,0,VLOOKUP(B20,'Common Assumptions'!$D$8:$E$25,2,FALSE))</f>
        <v>0</v>
      </c>
      <c r="J20" s="37">
        <f>_xlfn.XLOOKUP(C20,'Common Assumptions'!$A$8:$A$31,'Common Assumptions'!$B$8:$B$31,0)</f>
        <v>0</v>
      </c>
      <c r="K20" s="69">
        <f>IF(AT20=1,0,IF(F20="Yes",8760,VLOOKUP(B20,'Common Assumptions'!$D$8:$F$24,3,FALSE)))</f>
        <v>0</v>
      </c>
      <c r="L20" s="70"/>
      <c r="M20" s="15">
        <f t="shared" si="29"/>
        <v>0</v>
      </c>
      <c r="O20" s="37"/>
      <c r="P20" s="69">
        <f>IF(AT20=1,0,IF(F20="Yes",8760,VLOOKUP(B20,'Common Assumptions'!$D$8:$F$24,3,FALSE)))</f>
        <v>0</v>
      </c>
      <c r="Q20" s="70"/>
      <c r="R20" s="15">
        <f t="shared" si="11"/>
        <v>0</v>
      </c>
      <c r="V20" s="17">
        <f t="shared" si="12"/>
        <v>0</v>
      </c>
      <c r="W20" s="18">
        <f t="shared" si="13"/>
        <v>0</v>
      </c>
      <c r="X20" s="17">
        <f t="shared" si="14"/>
        <v>0</v>
      </c>
      <c r="Y20" s="19" t="e">
        <f t="shared" si="15"/>
        <v>#DIV/0!</v>
      </c>
      <c r="Z20" s="17">
        <f t="shared" si="16"/>
        <v>0</v>
      </c>
      <c r="AA20" s="20" t="e">
        <f t="shared" si="17"/>
        <v>#NUM!</v>
      </c>
      <c r="AI20" s="31">
        <f t="shared" si="18"/>
        <v>0</v>
      </c>
      <c r="AJ20" s="31">
        <f t="shared" si="19"/>
        <v>0</v>
      </c>
      <c r="AK20" s="31">
        <f t="shared" si="20"/>
        <v>0</v>
      </c>
      <c r="AL20" s="31">
        <f t="shared" si="21"/>
        <v>0</v>
      </c>
      <c r="AM20" s="31">
        <f t="shared" si="22"/>
        <v>0</v>
      </c>
      <c r="AN20" s="31">
        <f t="shared" si="23"/>
        <v>0</v>
      </c>
      <c r="AO20" s="31">
        <f t="shared" si="24"/>
        <v>0</v>
      </c>
      <c r="AP20" s="31">
        <f t="shared" si="25"/>
        <v>0</v>
      </c>
      <c r="AQ20" s="31">
        <f t="shared" si="26"/>
        <v>0</v>
      </c>
      <c r="AR20" s="31">
        <f t="shared" si="27"/>
        <v>0</v>
      </c>
      <c r="AT20">
        <f t="shared" si="28"/>
        <v>1</v>
      </c>
      <c r="AU20">
        <f t="shared" si="28"/>
        <v>1</v>
      </c>
    </row>
    <row r="21" spans="8:47" ht="14.25">
      <c r="H21">
        <f>IF(AT21=1,0,VLOOKUP(B21,'Common Assumptions'!$D$8:$E$25,2,FALSE))</f>
        <v>0</v>
      </c>
      <c r="J21" s="37">
        <f>_xlfn.XLOOKUP(C21,'Common Assumptions'!$A$8:$A$31,'Common Assumptions'!$B$8:$B$31,0)</f>
        <v>0</v>
      </c>
      <c r="K21" s="69">
        <f>IF(AT21=1,0,IF(F21="Yes",8760,VLOOKUP(B21,'Common Assumptions'!$D$8:$F$24,3,FALSE)))</f>
        <v>0</v>
      </c>
      <c r="L21" s="70"/>
      <c r="M21" s="15">
        <f t="shared" si="29"/>
        <v>0</v>
      </c>
      <c r="O21" s="37"/>
      <c r="P21" s="69">
        <f>IF(AT21=1,0,IF(F21="Yes",8760,VLOOKUP(B21,'Common Assumptions'!$D$8:$F$24,3,FALSE)))</f>
        <v>0</v>
      </c>
      <c r="Q21" s="70"/>
      <c r="R21" s="15">
        <f t="shared" si="11"/>
        <v>0</v>
      </c>
      <c r="V21" s="17">
        <f t="shared" si="12"/>
        <v>0</v>
      </c>
      <c r="W21" s="18">
        <f t="shared" si="13"/>
        <v>0</v>
      </c>
      <c r="X21" s="17">
        <f t="shared" si="14"/>
        <v>0</v>
      </c>
      <c r="Y21" s="19" t="e">
        <f t="shared" si="15"/>
        <v>#DIV/0!</v>
      </c>
      <c r="Z21" s="17">
        <f t="shared" si="16"/>
        <v>0</v>
      </c>
      <c r="AA21" s="20" t="e">
        <f t="shared" si="17"/>
        <v>#NUM!</v>
      </c>
      <c r="AI21" s="31">
        <f t="shared" si="18"/>
        <v>0</v>
      </c>
      <c r="AJ21" s="31">
        <f t="shared" si="19"/>
        <v>0</v>
      </c>
      <c r="AK21" s="31">
        <f t="shared" si="20"/>
        <v>0</v>
      </c>
      <c r="AL21" s="31">
        <f t="shared" si="21"/>
        <v>0</v>
      </c>
      <c r="AM21" s="31">
        <f t="shared" si="22"/>
        <v>0</v>
      </c>
      <c r="AN21" s="31">
        <f t="shared" si="23"/>
        <v>0</v>
      </c>
      <c r="AO21" s="31">
        <f t="shared" si="24"/>
        <v>0</v>
      </c>
      <c r="AP21" s="31">
        <f t="shared" si="25"/>
        <v>0</v>
      </c>
      <c r="AQ21" s="31">
        <f t="shared" si="26"/>
        <v>0</v>
      </c>
      <c r="AR21" s="31">
        <f t="shared" si="27"/>
        <v>0</v>
      </c>
      <c r="AT21">
        <f t="shared" si="28"/>
        <v>1</v>
      </c>
      <c r="AU21">
        <f t="shared" si="28"/>
        <v>1</v>
      </c>
    </row>
    <row r="22" spans="8:47" ht="14.25">
      <c r="H22">
        <f>IF(AT22=1,0,VLOOKUP(B22,'Common Assumptions'!$D$8:$E$25,2,FALSE))</f>
        <v>0</v>
      </c>
      <c r="J22" s="37">
        <f>_xlfn.XLOOKUP(C22,'Common Assumptions'!$A$8:$A$31,'Common Assumptions'!$B$8:$B$31,0)</f>
        <v>0</v>
      </c>
      <c r="K22" s="69">
        <f>IF(AT22=1,0,IF(F22="Yes",8760,VLOOKUP(B22,'Common Assumptions'!$D$8:$F$24,3,FALSE)))</f>
        <v>0</v>
      </c>
      <c r="L22" s="70"/>
      <c r="M22" s="15">
        <f t="shared" si="29"/>
        <v>0</v>
      </c>
      <c r="O22" s="37"/>
      <c r="P22" s="69">
        <f>IF(AT22=1,0,IF(F22="Yes",8760,VLOOKUP(B22,'Common Assumptions'!$D$8:$F$24,3,FALSE)))</f>
        <v>0</v>
      </c>
      <c r="Q22" s="70"/>
      <c r="R22" s="15">
        <f t="shared" si="11"/>
        <v>0</v>
      </c>
      <c r="V22" s="17">
        <f t="shared" si="12"/>
        <v>0</v>
      </c>
      <c r="W22" s="18">
        <f t="shared" si="13"/>
        <v>0</v>
      </c>
      <c r="X22" s="17">
        <f t="shared" si="14"/>
        <v>0</v>
      </c>
      <c r="Y22" s="19" t="e">
        <f t="shared" si="15"/>
        <v>#DIV/0!</v>
      </c>
      <c r="Z22" s="17">
        <f t="shared" si="16"/>
        <v>0</v>
      </c>
      <c r="AA22" s="20" t="e">
        <f t="shared" si="17"/>
        <v>#NUM!</v>
      </c>
      <c r="AI22" s="31">
        <f t="shared" si="18"/>
        <v>0</v>
      </c>
      <c r="AJ22" s="31">
        <f t="shared" si="19"/>
        <v>0</v>
      </c>
      <c r="AK22" s="31">
        <f t="shared" si="20"/>
        <v>0</v>
      </c>
      <c r="AL22" s="31">
        <f t="shared" si="21"/>
        <v>0</v>
      </c>
      <c r="AM22" s="31">
        <f t="shared" si="22"/>
        <v>0</v>
      </c>
      <c r="AN22" s="31">
        <f t="shared" si="23"/>
        <v>0</v>
      </c>
      <c r="AO22" s="31">
        <f t="shared" si="24"/>
        <v>0</v>
      </c>
      <c r="AP22" s="31">
        <f t="shared" si="25"/>
        <v>0</v>
      </c>
      <c r="AQ22" s="31">
        <f t="shared" si="26"/>
        <v>0</v>
      </c>
      <c r="AR22" s="31">
        <f t="shared" si="27"/>
        <v>0</v>
      </c>
      <c r="AT22">
        <f t="shared" si="28"/>
        <v>1</v>
      </c>
      <c r="AU22">
        <f t="shared" si="28"/>
        <v>1</v>
      </c>
    </row>
    <row r="23" spans="8:47" ht="14.25">
      <c r="H23">
        <f>IF(AT23=1,0,VLOOKUP(B23,'Common Assumptions'!$D$8:$E$25,2,FALSE))</f>
        <v>0</v>
      </c>
      <c r="J23" s="37">
        <f>_xlfn.XLOOKUP(C23,'Common Assumptions'!$A$8:$A$31,'Common Assumptions'!$B$8:$B$31,0)</f>
        <v>0</v>
      </c>
      <c r="K23" s="69">
        <f>IF(AT23=1,0,IF(F23="Yes",8760,VLOOKUP(B23,'Common Assumptions'!$D$8:$F$24,3,FALSE)))</f>
        <v>0</v>
      </c>
      <c r="L23" s="70"/>
      <c r="M23" s="15">
        <f t="shared" si="29"/>
        <v>0</v>
      </c>
      <c r="O23" s="37"/>
      <c r="P23" s="69">
        <f>IF(AT23=1,0,IF(F23="Yes",8760,VLOOKUP(B23,'Common Assumptions'!$D$8:$F$24,3,FALSE)))</f>
        <v>0</v>
      </c>
      <c r="Q23" s="70"/>
      <c r="R23" s="15">
        <f t="shared" si="11"/>
        <v>0</v>
      </c>
      <c r="V23" s="17">
        <f t="shared" si="12"/>
        <v>0</v>
      </c>
      <c r="W23" s="18">
        <f t="shared" si="13"/>
        <v>0</v>
      </c>
      <c r="X23" s="17">
        <f t="shared" si="14"/>
        <v>0</v>
      </c>
      <c r="Y23" s="19" t="e">
        <f t="shared" si="15"/>
        <v>#DIV/0!</v>
      </c>
      <c r="Z23" s="17">
        <f t="shared" si="16"/>
        <v>0</v>
      </c>
      <c r="AA23" s="20" t="e">
        <f t="shared" si="17"/>
        <v>#NUM!</v>
      </c>
      <c r="AI23" s="31">
        <f t="shared" si="18"/>
        <v>0</v>
      </c>
      <c r="AJ23" s="31">
        <f t="shared" si="19"/>
        <v>0</v>
      </c>
      <c r="AK23" s="31">
        <f t="shared" si="20"/>
        <v>0</v>
      </c>
      <c r="AL23" s="31">
        <f t="shared" si="21"/>
        <v>0</v>
      </c>
      <c r="AM23" s="31">
        <f t="shared" si="22"/>
        <v>0</v>
      </c>
      <c r="AN23" s="31">
        <f t="shared" si="23"/>
        <v>0</v>
      </c>
      <c r="AO23" s="31">
        <f t="shared" si="24"/>
        <v>0</v>
      </c>
      <c r="AP23" s="31">
        <f t="shared" si="25"/>
        <v>0</v>
      </c>
      <c r="AQ23" s="31">
        <f t="shared" si="26"/>
        <v>0</v>
      </c>
      <c r="AR23" s="31">
        <f t="shared" si="27"/>
        <v>0</v>
      </c>
      <c r="AT23">
        <f t="shared" si="28"/>
        <v>1</v>
      </c>
      <c r="AU23">
        <f t="shared" si="28"/>
        <v>1</v>
      </c>
    </row>
    <row r="24" spans="8:47" ht="14.25">
      <c r="H24">
        <f>IF(AT24=1,0,VLOOKUP(B24,'Common Assumptions'!$D$8:$E$25,2,FALSE))</f>
        <v>0</v>
      </c>
      <c r="J24" s="37">
        <f>_xlfn.XLOOKUP(C24,'Common Assumptions'!$A$8:$A$31,'Common Assumptions'!$B$8:$B$31,0)</f>
        <v>0</v>
      </c>
      <c r="K24" s="69">
        <f>IF(AT24=1,0,IF(F24="Yes",8760,VLOOKUP(B24,'Common Assumptions'!$D$8:$F$24,3,FALSE)))</f>
        <v>0</v>
      </c>
      <c r="L24" s="70"/>
      <c r="M24" s="15">
        <f t="shared" si="29"/>
        <v>0</v>
      </c>
      <c r="O24" s="37"/>
      <c r="P24" s="69">
        <f>IF(AT24=1,0,IF(F24="Yes",8760,VLOOKUP(B24,'Common Assumptions'!$D$8:$F$24,3,FALSE)))</f>
        <v>0</v>
      </c>
      <c r="Q24" s="70"/>
      <c r="R24" s="15">
        <f t="shared" si="11"/>
        <v>0</v>
      </c>
      <c r="V24" s="17">
        <f t="shared" si="12"/>
        <v>0</v>
      </c>
      <c r="W24" s="18">
        <f t="shared" si="13"/>
        <v>0</v>
      </c>
      <c r="X24" s="17">
        <f t="shared" si="14"/>
        <v>0</v>
      </c>
      <c r="Y24" s="19" t="e">
        <f t="shared" si="15"/>
        <v>#DIV/0!</v>
      </c>
      <c r="Z24" s="17">
        <f t="shared" si="16"/>
        <v>0</v>
      </c>
      <c r="AA24" s="20" t="e">
        <f t="shared" si="17"/>
        <v>#NUM!</v>
      </c>
      <c r="AI24" s="31">
        <f t="shared" si="18"/>
        <v>0</v>
      </c>
      <c r="AJ24" s="31">
        <f t="shared" si="19"/>
        <v>0</v>
      </c>
      <c r="AK24" s="31">
        <f t="shared" si="20"/>
        <v>0</v>
      </c>
      <c r="AL24" s="31">
        <f t="shared" si="21"/>
        <v>0</v>
      </c>
      <c r="AM24" s="31">
        <f t="shared" si="22"/>
        <v>0</v>
      </c>
      <c r="AN24" s="31">
        <f t="shared" si="23"/>
        <v>0</v>
      </c>
      <c r="AO24" s="31">
        <f t="shared" si="24"/>
        <v>0</v>
      </c>
      <c r="AP24" s="31">
        <f t="shared" si="25"/>
        <v>0</v>
      </c>
      <c r="AQ24" s="31">
        <f t="shared" si="26"/>
        <v>0</v>
      </c>
      <c r="AR24" s="31">
        <f t="shared" si="27"/>
        <v>0</v>
      </c>
      <c r="AT24">
        <f t="shared" si="28"/>
        <v>1</v>
      </c>
      <c r="AU24">
        <f t="shared" si="28"/>
        <v>1</v>
      </c>
    </row>
    <row r="25" spans="8:47" ht="14.25">
      <c r="H25">
        <f>IF(AT25=1,0,VLOOKUP(B25,'Common Assumptions'!$D$8:$E$25,2,FALSE))</f>
        <v>0</v>
      </c>
      <c r="J25" s="37">
        <f>_xlfn.XLOOKUP(C25,'Common Assumptions'!$A$8:$A$31,'Common Assumptions'!$B$8:$B$31,0)</f>
        <v>0</v>
      </c>
      <c r="K25" s="69">
        <f>IF(AT25=1,0,IF(F25="Yes",8760,VLOOKUP(B25,'Common Assumptions'!$D$8:$F$24,3,FALSE)))</f>
        <v>0</v>
      </c>
      <c r="L25" s="70"/>
      <c r="M25" s="15">
        <f t="shared" si="29"/>
        <v>0</v>
      </c>
      <c r="O25" s="37"/>
      <c r="P25" s="69">
        <f>IF(AT25=1,0,IF(F25="Yes",8760,VLOOKUP(B25,'Common Assumptions'!$D$8:$F$24,3,FALSE)))</f>
        <v>0</v>
      </c>
      <c r="Q25" s="70"/>
      <c r="R25" s="15">
        <f t="shared" si="11"/>
        <v>0</v>
      </c>
      <c r="V25" s="17">
        <f t="shared" si="12"/>
        <v>0</v>
      </c>
      <c r="W25" s="18">
        <f t="shared" si="13"/>
        <v>0</v>
      </c>
      <c r="X25" s="17">
        <f t="shared" si="14"/>
        <v>0</v>
      </c>
      <c r="Y25" s="19" t="e">
        <f t="shared" si="15"/>
        <v>#DIV/0!</v>
      </c>
      <c r="Z25" s="17">
        <f t="shared" si="16"/>
        <v>0</v>
      </c>
      <c r="AA25" s="20" t="e">
        <f t="shared" si="17"/>
        <v>#NUM!</v>
      </c>
      <c r="AI25" s="31">
        <f t="shared" si="18"/>
        <v>0</v>
      </c>
      <c r="AJ25" s="31">
        <f t="shared" si="19"/>
        <v>0</v>
      </c>
      <c r="AK25" s="31">
        <f t="shared" si="20"/>
        <v>0</v>
      </c>
      <c r="AL25" s="31">
        <f t="shared" si="21"/>
        <v>0</v>
      </c>
      <c r="AM25" s="31">
        <f t="shared" si="22"/>
        <v>0</v>
      </c>
      <c r="AN25" s="31">
        <f t="shared" si="23"/>
        <v>0</v>
      </c>
      <c r="AO25" s="31">
        <f t="shared" si="24"/>
        <v>0</v>
      </c>
      <c r="AP25" s="31">
        <f t="shared" si="25"/>
        <v>0</v>
      </c>
      <c r="AQ25" s="31">
        <f t="shared" si="26"/>
        <v>0</v>
      </c>
      <c r="AR25" s="31">
        <f t="shared" si="27"/>
        <v>0</v>
      </c>
      <c r="AT25">
        <f t="shared" si="28"/>
        <v>1</v>
      </c>
      <c r="AU25">
        <f t="shared" si="28"/>
        <v>1</v>
      </c>
    </row>
    <row r="26" spans="8:47" ht="14.25">
      <c r="H26">
        <f>IF(AT26=1,0,VLOOKUP(B26,'Common Assumptions'!$D$8:$E$25,2,FALSE))</f>
        <v>0</v>
      </c>
      <c r="J26" s="37">
        <f>_xlfn.XLOOKUP(C26,'Common Assumptions'!$A$8:$A$31,'Common Assumptions'!$B$8:$B$31,0)</f>
        <v>0</v>
      </c>
      <c r="K26" s="69">
        <f>IF(AT26=1,0,IF(F26="Yes",8760,VLOOKUP(B26,'Common Assumptions'!$D$8:$F$24,3,FALSE)))</f>
        <v>0</v>
      </c>
      <c r="L26" s="70"/>
      <c r="M26" s="15">
        <f t="shared" si="29"/>
        <v>0</v>
      </c>
      <c r="O26" s="37"/>
      <c r="P26" s="69">
        <f>IF(AT26=1,0,IF(F26="Yes",8760,VLOOKUP(B26,'Common Assumptions'!$D$8:$F$24,3,FALSE)))</f>
        <v>0</v>
      </c>
      <c r="Q26" s="70"/>
      <c r="R26" s="15">
        <f t="shared" si="11"/>
        <v>0</v>
      </c>
      <c r="V26" s="17">
        <f t="shared" si="12"/>
        <v>0</v>
      </c>
      <c r="W26" s="18">
        <f t="shared" si="13"/>
        <v>0</v>
      </c>
      <c r="X26" s="17">
        <f t="shared" si="14"/>
        <v>0</v>
      </c>
      <c r="Y26" s="19" t="e">
        <f t="shared" si="15"/>
        <v>#DIV/0!</v>
      </c>
      <c r="Z26" s="17">
        <f t="shared" si="16"/>
        <v>0</v>
      </c>
      <c r="AA26" s="20" t="e">
        <f t="shared" si="17"/>
        <v>#NUM!</v>
      </c>
      <c r="AI26" s="31">
        <f t="shared" si="18"/>
        <v>0</v>
      </c>
      <c r="AJ26" s="31">
        <f t="shared" si="19"/>
        <v>0</v>
      </c>
      <c r="AK26" s="31">
        <f t="shared" si="20"/>
        <v>0</v>
      </c>
      <c r="AL26" s="31">
        <f t="shared" si="21"/>
        <v>0</v>
      </c>
      <c r="AM26" s="31">
        <f t="shared" si="22"/>
        <v>0</v>
      </c>
      <c r="AN26" s="31">
        <f t="shared" si="23"/>
        <v>0</v>
      </c>
      <c r="AO26" s="31">
        <f t="shared" si="24"/>
        <v>0</v>
      </c>
      <c r="AP26" s="31">
        <f t="shared" si="25"/>
        <v>0</v>
      </c>
      <c r="AQ26" s="31">
        <f t="shared" si="26"/>
        <v>0</v>
      </c>
      <c r="AR26" s="31">
        <f t="shared" si="27"/>
        <v>0</v>
      </c>
      <c r="AT26">
        <f t="shared" si="28"/>
        <v>1</v>
      </c>
      <c r="AU26">
        <f t="shared" si="28"/>
        <v>1</v>
      </c>
    </row>
    <row r="27" spans="8:47" ht="14.25">
      <c r="H27">
        <f>IF(AT27=1,0,VLOOKUP(B27,'Common Assumptions'!$D$8:$E$25,2,FALSE))</f>
        <v>0</v>
      </c>
      <c r="J27" s="37">
        <f>_xlfn.XLOOKUP(C27,'Common Assumptions'!$A$8:$A$31,'Common Assumptions'!$B$8:$B$31,0)</f>
        <v>0</v>
      </c>
      <c r="K27" s="69">
        <f>IF(AT27=1,0,IF(F27="Yes",8760,VLOOKUP(B27,'Common Assumptions'!$D$8:$F$24,3,FALSE)))</f>
        <v>0</v>
      </c>
      <c r="L27" s="70"/>
      <c r="M27" s="15">
        <f t="shared" si="29"/>
        <v>0</v>
      </c>
      <c r="O27" s="37"/>
      <c r="P27" s="69">
        <f>IF(AT27=1,0,IF(F27="Yes",8760,VLOOKUP(B27,'Common Assumptions'!$D$8:$F$24,3,FALSE)))</f>
        <v>0</v>
      </c>
      <c r="Q27" s="70"/>
      <c r="R27" s="15">
        <f aca="true" t="shared" si="30" ref="R27">O27*P27*Q27/1000</f>
        <v>0</v>
      </c>
      <c r="V27" s="17">
        <f aca="true" t="shared" si="31" ref="V27">(S27+T27)*Q27+U27</f>
        <v>0</v>
      </c>
      <c r="W27" s="18">
        <f aca="true" t="shared" si="32" ref="W27">M27-R27</f>
        <v>0</v>
      </c>
      <c r="X27" s="17">
        <f aca="true" t="shared" si="33" ref="X27">W27*$C$3</f>
        <v>0</v>
      </c>
      <c r="Y27" s="19" t="e">
        <f aca="true" t="shared" si="34" ref="Y27">V27/X27</f>
        <v>#DIV/0!</v>
      </c>
      <c r="Z27" s="17">
        <f t="shared" si="16"/>
        <v>0</v>
      </c>
      <c r="AA27" s="20" t="e">
        <f t="shared" si="17"/>
        <v>#NUM!</v>
      </c>
      <c r="AI27" s="31">
        <f t="shared" si="18"/>
        <v>0</v>
      </c>
      <c r="AJ27" s="31">
        <f t="shared" si="19"/>
        <v>0</v>
      </c>
      <c r="AK27" s="31">
        <f t="shared" si="20"/>
        <v>0</v>
      </c>
      <c r="AL27" s="31">
        <f t="shared" si="21"/>
        <v>0</v>
      </c>
      <c r="AM27" s="31">
        <f t="shared" si="22"/>
        <v>0</v>
      </c>
      <c r="AN27" s="31">
        <f t="shared" si="23"/>
        <v>0</v>
      </c>
      <c r="AO27" s="31">
        <f t="shared" si="24"/>
        <v>0</v>
      </c>
      <c r="AP27" s="31">
        <f t="shared" si="25"/>
        <v>0</v>
      </c>
      <c r="AQ27" s="31">
        <f t="shared" si="26"/>
        <v>0</v>
      </c>
      <c r="AR27" s="31">
        <f t="shared" si="27"/>
        <v>0</v>
      </c>
      <c r="AT27">
        <f t="shared" si="28"/>
        <v>1</v>
      </c>
      <c r="AU27">
        <f t="shared" si="28"/>
        <v>1</v>
      </c>
    </row>
    <row r="28" spans="8:47" ht="14.25">
      <c r="H28">
        <f>IF(AT28=1,0,VLOOKUP(B28,'Common Assumptions'!$D$8:$E$25,2,FALSE))</f>
        <v>0</v>
      </c>
      <c r="J28" s="37">
        <f>_xlfn.XLOOKUP(C28,'Common Assumptions'!$A$8:$A$31,'Common Assumptions'!$B$8:$B$31,0)</f>
        <v>0</v>
      </c>
      <c r="K28" s="69">
        <f>IF(AT28=1,0,IF(F28="Yes",8760,VLOOKUP(B28,'Common Assumptions'!$D$8:$F$24,3,FALSE)))</f>
        <v>0</v>
      </c>
      <c r="L28" s="70"/>
      <c r="M28" s="15">
        <f t="shared" si="29"/>
        <v>0</v>
      </c>
      <c r="O28" s="37"/>
      <c r="P28" s="69">
        <f>IF(AT28=1,0,IF(F28="Yes",8760,VLOOKUP(B28,'Common Assumptions'!$D$8:$F$24,3,FALSE)))</f>
        <v>0</v>
      </c>
      <c r="Q28" s="70"/>
      <c r="R28" s="15">
        <f t="shared" si="11"/>
        <v>0</v>
      </c>
      <c r="V28" s="17">
        <f t="shared" si="12"/>
        <v>0</v>
      </c>
      <c r="W28" s="18">
        <f t="shared" si="13"/>
        <v>0</v>
      </c>
      <c r="X28" s="17">
        <f t="shared" si="14"/>
        <v>0</v>
      </c>
      <c r="Y28" s="19" t="e">
        <f t="shared" si="15"/>
        <v>#DIV/0!</v>
      </c>
      <c r="Z28" s="17">
        <f t="shared" si="16"/>
        <v>0</v>
      </c>
      <c r="AA28" s="20" t="e">
        <f t="shared" si="17"/>
        <v>#NUM!</v>
      </c>
      <c r="AI28" s="31">
        <f t="shared" si="18"/>
        <v>0</v>
      </c>
      <c r="AJ28" s="31">
        <f t="shared" si="19"/>
        <v>0</v>
      </c>
      <c r="AK28" s="31">
        <f t="shared" si="20"/>
        <v>0</v>
      </c>
      <c r="AL28" s="31">
        <f t="shared" si="21"/>
        <v>0</v>
      </c>
      <c r="AM28" s="31">
        <f t="shared" si="22"/>
        <v>0</v>
      </c>
      <c r="AN28" s="31">
        <f t="shared" si="23"/>
        <v>0</v>
      </c>
      <c r="AO28" s="31">
        <f t="shared" si="24"/>
        <v>0</v>
      </c>
      <c r="AP28" s="31">
        <f t="shared" si="25"/>
        <v>0</v>
      </c>
      <c r="AQ28" s="31">
        <f t="shared" si="26"/>
        <v>0</v>
      </c>
      <c r="AR28" s="31">
        <f t="shared" si="27"/>
        <v>0</v>
      </c>
      <c r="AT28">
        <f t="shared" si="28"/>
        <v>1</v>
      </c>
      <c r="AU28">
        <f t="shared" si="28"/>
        <v>1</v>
      </c>
    </row>
    <row r="29" spans="8:47" ht="14.25">
      <c r="H29">
        <f>IF(AT29=1,0,VLOOKUP(B29,'Common Assumptions'!$D$8:$E$25,2,FALSE))</f>
        <v>0</v>
      </c>
      <c r="J29" s="37">
        <f>_xlfn.XLOOKUP(C29,'Common Assumptions'!$A$8:$A$31,'Common Assumptions'!$B$8:$B$31,0)</f>
        <v>0</v>
      </c>
      <c r="K29" s="69">
        <f>IF(AT29=1,0,IF(F29="Yes",8760,VLOOKUP(B29,'Common Assumptions'!$D$8:$F$24,3,FALSE)))</f>
        <v>0</v>
      </c>
      <c r="L29" s="70"/>
      <c r="M29" s="15">
        <f t="shared" si="29"/>
        <v>0</v>
      </c>
      <c r="O29" s="37"/>
      <c r="P29" s="69">
        <f>IF(AT29=1,0,IF(F29="Yes",8760,VLOOKUP(B29,'Common Assumptions'!$D$8:$F$24,3,FALSE)))</f>
        <v>0</v>
      </c>
      <c r="Q29" s="70"/>
      <c r="R29" s="15">
        <f t="shared" si="11"/>
        <v>0</v>
      </c>
      <c r="V29" s="17">
        <f t="shared" si="12"/>
        <v>0</v>
      </c>
      <c r="W29" s="18">
        <f t="shared" si="13"/>
        <v>0</v>
      </c>
      <c r="X29" s="17">
        <f t="shared" si="14"/>
        <v>0</v>
      </c>
      <c r="Y29" s="19" t="e">
        <f t="shared" si="15"/>
        <v>#DIV/0!</v>
      </c>
      <c r="Z29" s="17">
        <f t="shared" si="16"/>
        <v>0</v>
      </c>
      <c r="AA29" s="20" t="e">
        <f t="shared" si="17"/>
        <v>#NUM!</v>
      </c>
      <c r="AI29" s="31">
        <f t="shared" si="18"/>
        <v>0</v>
      </c>
      <c r="AJ29" s="31">
        <f t="shared" si="19"/>
        <v>0</v>
      </c>
      <c r="AK29" s="31">
        <f t="shared" si="20"/>
        <v>0</v>
      </c>
      <c r="AL29" s="31">
        <f t="shared" si="21"/>
        <v>0</v>
      </c>
      <c r="AM29" s="31">
        <f t="shared" si="22"/>
        <v>0</v>
      </c>
      <c r="AN29" s="31">
        <f t="shared" si="23"/>
        <v>0</v>
      </c>
      <c r="AO29" s="31">
        <f t="shared" si="24"/>
        <v>0</v>
      </c>
      <c r="AP29" s="31">
        <f t="shared" si="25"/>
        <v>0</v>
      </c>
      <c r="AQ29" s="31">
        <f t="shared" si="26"/>
        <v>0</v>
      </c>
      <c r="AR29" s="31">
        <f t="shared" si="27"/>
        <v>0</v>
      </c>
      <c r="AT29">
        <f t="shared" si="28"/>
        <v>1</v>
      </c>
      <c r="AU29">
        <f t="shared" si="28"/>
        <v>1</v>
      </c>
    </row>
    <row r="30" spans="8:47" ht="14.25">
      <c r="H30">
        <f>IF(AT30=1,0,VLOOKUP(B30,'Common Assumptions'!$D$8:$E$25,2,FALSE))</f>
        <v>0</v>
      </c>
      <c r="J30" s="37">
        <f>_xlfn.XLOOKUP(C30,'Common Assumptions'!$A$8:$A$31,'Common Assumptions'!$B$8:$B$31,0)</f>
        <v>0</v>
      </c>
      <c r="K30" s="69">
        <f>IF(AT30=1,0,IF(F30="Yes",8760,VLOOKUP(B30,'Common Assumptions'!$D$8:$F$24,3,FALSE)))</f>
        <v>0</v>
      </c>
      <c r="L30" s="70"/>
      <c r="M30" s="15">
        <f t="shared" si="29"/>
        <v>0</v>
      </c>
      <c r="O30" s="37"/>
      <c r="P30" s="69">
        <f>IF(AT30=1,0,IF(F30="Yes",8760,VLOOKUP(B30,'Common Assumptions'!$D$8:$F$24,3,FALSE)))</f>
        <v>0</v>
      </c>
      <c r="Q30" s="70"/>
      <c r="R30" s="15">
        <f t="shared" si="11"/>
        <v>0</v>
      </c>
      <c r="V30" s="17">
        <f t="shared" si="12"/>
        <v>0</v>
      </c>
      <c r="W30" s="18">
        <f t="shared" si="13"/>
        <v>0</v>
      </c>
      <c r="X30" s="17">
        <f t="shared" si="14"/>
        <v>0</v>
      </c>
      <c r="Y30" s="19" t="e">
        <f t="shared" si="15"/>
        <v>#DIV/0!</v>
      </c>
      <c r="Z30" s="17">
        <f t="shared" si="16"/>
        <v>0</v>
      </c>
      <c r="AA30" s="20" t="e">
        <f t="shared" si="17"/>
        <v>#NUM!</v>
      </c>
      <c r="AI30" s="31">
        <f t="shared" si="18"/>
        <v>0</v>
      </c>
      <c r="AJ30" s="31">
        <f t="shared" si="19"/>
        <v>0</v>
      </c>
      <c r="AK30" s="31">
        <f t="shared" si="20"/>
        <v>0</v>
      </c>
      <c r="AL30" s="31">
        <f t="shared" si="21"/>
        <v>0</v>
      </c>
      <c r="AM30" s="31">
        <f t="shared" si="22"/>
        <v>0</v>
      </c>
      <c r="AN30" s="31">
        <f t="shared" si="23"/>
        <v>0</v>
      </c>
      <c r="AO30" s="31">
        <f t="shared" si="24"/>
        <v>0</v>
      </c>
      <c r="AP30" s="31">
        <f t="shared" si="25"/>
        <v>0</v>
      </c>
      <c r="AQ30" s="31">
        <f t="shared" si="26"/>
        <v>0</v>
      </c>
      <c r="AR30" s="31">
        <f t="shared" si="27"/>
        <v>0</v>
      </c>
      <c r="AT30">
        <f t="shared" si="28"/>
        <v>1</v>
      </c>
      <c r="AU30">
        <f t="shared" si="28"/>
        <v>1</v>
      </c>
    </row>
    <row r="31" spans="8:47" ht="14.25">
      <c r="H31">
        <f>IF(AT31=1,0,VLOOKUP(B31,'Common Assumptions'!$D$8:$E$25,2,FALSE))</f>
        <v>0</v>
      </c>
      <c r="J31" s="37">
        <f>_xlfn.XLOOKUP(C31,'Common Assumptions'!$A$8:$A$31,'Common Assumptions'!$B$8:$B$31,0)</f>
        <v>0</v>
      </c>
      <c r="K31" s="69">
        <f>IF(AT31=1,0,IF(F31="Yes",8760,VLOOKUP(B31,'Common Assumptions'!$D$8:$F$24,3,FALSE)))</f>
        <v>0</v>
      </c>
      <c r="L31" s="70"/>
      <c r="M31" s="15">
        <f t="shared" si="29"/>
        <v>0</v>
      </c>
      <c r="O31" s="37"/>
      <c r="P31" s="69">
        <f>IF(AT31=1,0,IF(F31="Yes",8760,VLOOKUP(B31,'Common Assumptions'!$D$8:$F$24,3,FALSE)))</f>
        <v>0</v>
      </c>
      <c r="Q31" s="70"/>
      <c r="R31" s="15">
        <f t="shared" si="11"/>
        <v>0</v>
      </c>
      <c r="V31" s="17">
        <f t="shared" si="12"/>
        <v>0</v>
      </c>
      <c r="W31" s="18">
        <f t="shared" si="13"/>
        <v>0</v>
      </c>
      <c r="X31" s="17">
        <f t="shared" si="14"/>
        <v>0</v>
      </c>
      <c r="Y31" s="19" t="e">
        <f t="shared" si="15"/>
        <v>#DIV/0!</v>
      </c>
      <c r="Z31" s="17">
        <f t="shared" si="16"/>
        <v>0</v>
      </c>
      <c r="AA31" s="20" t="e">
        <f t="shared" si="17"/>
        <v>#NUM!</v>
      </c>
      <c r="AI31" s="31">
        <f t="shared" si="18"/>
        <v>0</v>
      </c>
      <c r="AJ31" s="31">
        <f t="shared" si="19"/>
        <v>0</v>
      </c>
      <c r="AK31" s="31">
        <f t="shared" si="20"/>
        <v>0</v>
      </c>
      <c r="AL31" s="31">
        <f t="shared" si="21"/>
        <v>0</v>
      </c>
      <c r="AM31" s="31">
        <f t="shared" si="22"/>
        <v>0</v>
      </c>
      <c r="AN31" s="31">
        <f t="shared" si="23"/>
        <v>0</v>
      </c>
      <c r="AO31" s="31">
        <f t="shared" si="24"/>
        <v>0</v>
      </c>
      <c r="AP31" s="31">
        <f t="shared" si="25"/>
        <v>0</v>
      </c>
      <c r="AQ31" s="31">
        <f t="shared" si="26"/>
        <v>0</v>
      </c>
      <c r="AR31" s="31">
        <f t="shared" si="27"/>
        <v>0</v>
      </c>
      <c r="AT31">
        <f t="shared" si="28"/>
        <v>1</v>
      </c>
      <c r="AU31">
        <f t="shared" si="28"/>
        <v>1</v>
      </c>
    </row>
    <row r="32" spans="8:47" ht="14.25">
      <c r="H32">
        <f>IF(AT32=1,0,VLOOKUP(B32,'Common Assumptions'!$D$8:$E$25,2,FALSE))</f>
        <v>0</v>
      </c>
      <c r="J32" s="37">
        <f>_xlfn.XLOOKUP(C32,'Common Assumptions'!$A$8:$A$31,'Common Assumptions'!$B$8:$B$31,0)</f>
        <v>0</v>
      </c>
      <c r="K32" s="69">
        <f>IF(AT32=1,0,IF(F32="Yes",8760,VLOOKUP(B32,'Common Assumptions'!$D$8:$F$24,3,FALSE)))</f>
        <v>0</v>
      </c>
      <c r="L32" s="70"/>
      <c r="M32" s="15">
        <f t="shared" si="29"/>
        <v>0</v>
      </c>
      <c r="O32" s="37"/>
      <c r="P32" s="69">
        <f>IF(AT32=1,0,IF(F32="Yes",8760,VLOOKUP(B32,'Common Assumptions'!$D$8:$F$24,3,FALSE)))</f>
        <v>0</v>
      </c>
      <c r="Q32" s="70"/>
      <c r="R32" s="15">
        <f t="shared" si="11"/>
        <v>0</v>
      </c>
      <c r="V32" s="17">
        <f t="shared" si="12"/>
        <v>0</v>
      </c>
      <c r="W32" s="18">
        <f t="shared" si="13"/>
        <v>0</v>
      </c>
      <c r="X32" s="17">
        <f t="shared" si="14"/>
        <v>0</v>
      </c>
      <c r="Y32" s="19" t="e">
        <f t="shared" si="15"/>
        <v>#DIV/0!</v>
      </c>
      <c r="Z32" s="17">
        <f t="shared" si="16"/>
        <v>0</v>
      </c>
      <c r="AA32" s="20" t="e">
        <f t="shared" si="17"/>
        <v>#NUM!</v>
      </c>
      <c r="AI32" s="31">
        <f t="shared" si="18"/>
        <v>0</v>
      </c>
      <c r="AJ32" s="31">
        <f t="shared" si="19"/>
        <v>0</v>
      </c>
      <c r="AK32" s="31">
        <f t="shared" si="20"/>
        <v>0</v>
      </c>
      <c r="AL32" s="31">
        <f t="shared" si="21"/>
        <v>0</v>
      </c>
      <c r="AM32" s="31">
        <f t="shared" si="22"/>
        <v>0</v>
      </c>
      <c r="AN32" s="31">
        <f t="shared" si="23"/>
        <v>0</v>
      </c>
      <c r="AO32" s="31">
        <f t="shared" si="24"/>
        <v>0</v>
      </c>
      <c r="AP32" s="31">
        <f t="shared" si="25"/>
        <v>0</v>
      </c>
      <c r="AQ32" s="31">
        <f t="shared" si="26"/>
        <v>0</v>
      </c>
      <c r="AR32" s="31">
        <f t="shared" si="27"/>
        <v>0</v>
      </c>
      <c r="AT32">
        <f t="shared" si="28"/>
        <v>1</v>
      </c>
      <c r="AU32">
        <f t="shared" si="28"/>
        <v>1</v>
      </c>
    </row>
    <row r="33" spans="8:47" ht="14.25">
      <c r="H33">
        <f>IF(AT33=1,0,VLOOKUP(B33,'Common Assumptions'!$D$8:$E$25,2,FALSE))</f>
        <v>0</v>
      </c>
      <c r="J33" s="37">
        <f>_xlfn.XLOOKUP(C33,'Common Assumptions'!$A$8:$A$31,'Common Assumptions'!$B$8:$B$31,0)</f>
        <v>0</v>
      </c>
      <c r="K33" s="69">
        <f>IF(AT33=1,0,IF(F33="Yes",8760,VLOOKUP(B33,'Common Assumptions'!$D$8:$F$24,3,FALSE)))</f>
        <v>0</v>
      </c>
      <c r="L33" s="70"/>
      <c r="M33" s="15">
        <f t="shared" si="29"/>
        <v>0</v>
      </c>
      <c r="O33" s="37"/>
      <c r="P33" s="69">
        <f>IF(AT33=1,0,IF(F33="Yes",8760,VLOOKUP(B33,'Common Assumptions'!$D$8:$F$24,3,FALSE)))</f>
        <v>0</v>
      </c>
      <c r="Q33" s="70"/>
      <c r="R33" s="15">
        <f t="shared" si="11"/>
        <v>0</v>
      </c>
      <c r="V33" s="17">
        <f t="shared" si="12"/>
        <v>0</v>
      </c>
      <c r="W33" s="18">
        <f t="shared" si="13"/>
        <v>0</v>
      </c>
      <c r="X33" s="17">
        <f t="shared" si="14"/>
        <v>0</v>
      </c>
      <c r="Y33" s="19" t="e">
        <f t="shared" si="15"/>
        <v>#DIV/0!</v>
      </c>
      <c r="Z33" s="17">
        <f t="shared" si="16"/>
        <v>0</v>
      </c>
      <c r="AA33" s="20" t="e">
        <f t="shared" si="17"/>
        <v>#NUM!</v>
      </c>
      <c r="AI33" s="31">
        <f t="shared" si="18"/>
        <v>0</v>
      </c>
      <c r="AJ33" s="31">
        <f t="shared" si="19"/>
        <v>0</v>
      </c>
      <c r="AK33" s="31">
        <f t="shared" si="20"/>
        <v>0</v>
      </c>
      <c r="AL33" s="31">
        <f t="shared" si="21"/>
        <v>0</v>
      </c>
      <c r="AM33" s="31">
        <f t="shared" si="22"/>
        <v>0</v>
      </c>
      <c r="AN33" s="31">
        <f t="shared" si="23"/>
        <v>0</v>
      </c>
      <c r="AO33" s="31">
        <f t="shared" si="24"/>
        <v>0</v>
      </c>
      <c r="AP33" s="31">
        <f t="shared" si="25"/>
        <v>0</v>
      </c>
      <c r="AQ33" s="31">
        <f t="shared" si="26"/>
        <v>0</v>
      </c>
      <c r="AR33" s="31">
        <f t="shared" si="27"/>
        <v>0</v>
      </c>
      <c r="AT33">
        <f t="shared" si="28"/>
        <v>1</v>
      </c>
      <c r="AU33">
        <f t="shared" si="28"/>
        <v>1</v>
      </c>
    </row>
    <row r="34" spans="8:47" ht="14.25">
      <c r="H34">
        <f>IF(AT34=1,0,VLOOKUP(B34,'Common Assumptions'!$D$8:$E$25,2,FALSE))</f>
        <v>0</v>
      </c>
      <c r="J34" s="37">
        <f>_xlfn.XLOOKUP(C34,'Common Assumptions'!$A$8:$A$31,'Common Assumptions'!$B$8:$B$31,0)</f>
        <v>0</v>
      </c>
      <c r="K34" s="69">
        <f>IF(AT34=1,0,IF(F34="Yes",8760,VLOOKUP(B34,'Common Assumptions'!$D$8:$F$24,3,FALSE)))</f>
        <v>0</v>
      </c>
      <c r="L34" s="70"/>
      <c r="M34" s="15">
        <f t="shared" si="29"/>
        <v>0</v>
      </c>
      <c r="O34" s="37"/>
      <c r="P34" s="69">
        <f>IF(AT34=1,0,IF(F34="Yes",8760,VLOOKUP(B34,'Common Assumptions'!$D$8:$F$24,3,FALSE)))</f>
        <v>0</v>
      </c>
      <c r="Q34" s="70"/>
      <c r="R34" s="15">
        <f t="shared" si="11"/>
        <v>0</v>
      </c>
      <c r="V34" s="17">
        <f t="shared" si="12"/>
        <v>0</v>
      </c>
      <c r="W34" s="18">
        <f t="shared" si="13"/>
        <v>0</v>
      </c>
      <c r="X34" s="17">
        <f t="shared" si="14"/>
        <v>0</v>
      </c>
      <c r="Y34" s="19" t="e">
        <f t="shared" si="15"/>
        <v>#DIV/0!</v>
      </c>
      <c r="Z34" s="17">
        <f t="shared" si="16"/>
        <v>0</v>
      </c>
      <c r="AA34" s="20" t="e">
        <f t="shared" si="17"/>
        <v>#NUM!</v>
      </c>
      <c r="AI34" s="31">
        <f t="shared" si="18"/>
        <v>0</v>
      </c>
      <c r="AJ34" s="31">
        <f t="shared" si="19"/>
        <v>0</v>
      </c>
      <c r="AK34" s="31">
        <f t="shared" si="20"/>
        <v>0</v>
      </c>
      <c r="AL34" s="31">
        <f t="shared" si="21"/>
        <v>0</v>
      </c>
      <c r="AM34" s="31">
        <f t="shared" si="22"/>
        <v>0</v>
      </c>
      <c r="AN34" s="31">
        <f t="shared" si="23"/>
        <v>0</v>
      </c>
      <c r="AO34" s="31">
        <f t="shared" si="24"/>
        <v>0</v>
      </c>
      <c r="AP34" s="31">
        <f t="shared" si="25"/>
        <v>0</v>
      </c>
      <c r="AQ34" s="31">
        <f t="shared" si="26"/>
        <v>0</v>
      </c>
      <c r="AR34" s="31">
        <f t="shared" si="27"/>
        <v>0</v>
      </c>
      <c r="AT34">
        <f t="shared" si="28"/>
        <v>1</v>
      </c>
      <c r="AU34">
        <f t="shared" si="28"/>
        <v>1</v>
      </c>
    </row>
    <row r="35" spans="8:47" ht="14.25">
      <c r="H35">
        <f>IF(AT35=1,0,VLOOKUP(B35,'Common Assumptions'!$D$8:$E$25,2,FALSE))</f>
        <v>0</v>
      </c>
      <c r="J35" s="37">
        <f>_xlfn.XLOOKUP(C35,'Common Assumptions'!$A$8:$A$31,'Common Assumptions'!$B$8:$B$31,0)</f>
        <v>0</v>
      </c>
      <c r="K35" s="69">
        <f>IF(AT35=1,0,IF(F35="Yes",8760,VLOOKUP(B35,'Common Assumptions'!$D$8:$F$24,3,FALSE)))</f>
        <v>0</v>
      </c>
      <c r="L35" s="70"/>
      <c r="M35" s="15">
        <f t="shared" si="29"/>
        <v>0</v>
      </c>
      <c r="O35" s="37"/>
      <c r="P35" s="69">
        <f>IF(AT35=1,0,IF(F35="Yes",8760,VLOOKUP(B35,'Common Assumptions'!$D$8:$F$24,3,FALSE)))</f>
        <v>0</v>
      </c>
      <c r="Q35" s="70"/>
      <c r="R35" s="15">
        <f t="shared" si="11"/>
        <v>0</v>
      </c>
      <c r="V35" s="17">
        <f t="shared" si="12"/>
        <v>0</v>
      </c>
      <c r="W35" s="18">
        <f t="shared" si="13"/>
        <v>0</v>
      </c>
      <c r="X35" s="17">
        <f t="shared" si="14"/>
        <v>0</v>
      </c>
      <c r="Y35" s="19" t="e">
        <f t="shared" si="15"/>
        <v>#DIV/0!</v>
      </c>
      <c r="Z35" s="17">
        <f t="shared" si="16"/>
        <v>0</v>
      </c>
      <c r="AA35" s="20" t="e">
        <f t="shared" si="17"/>
        <v>#NUM!</v>
      </c>
      <c r="AI35" s="31">
        <f t="shared" si="18"/>
        <v>0</v>
      </c>
      <c r="AJ35" s="31">
        <f t="shared" si="19"/>
        <v>0</v>
      </c>
      <c r="AK35" s="31">
        <f t="shared" si="20"/>
        <v>0</v>
      </c>
      <c r="AL35" s="31">
        <f t="shared" si="21"/>
        <v>0</v>
      </c>
      <c r="AM35" s="31">
        <f t="shared" si="22"/>
        <v>0</v>
      </c>
      <c r="AN35" s="31">
        <f t="shared" si="23"/>
        <v>0</v>
      </c>
      <c r="AO35" s="31">
        <f t="shared" si="24"/>
        <v>0</v>
      </c>
      <c r="AP35" s="31">
        <f t="shared" si="25"/>
        <v>0</v>
      </c>
      <c r="AQ35" s="31">
        <f t="shared" si="26"/>
        <v>0</v>
      </c>
      <c r="AR35" s="31">
        <f t="shared" si="27"/>
        <v>0</v>
      </c>
      <c r="AT35">
        <f t="shared" si="28"/>
        <v>1</v>
      </c>
      <c r="AU35">
        <f t="shared" si="28"/>
        <v>1</v>
      </c>
    </row>
    <row r="36" spans="8:47" ht="14.25">
      <c r="H36">
        <f>IF(AT36=1,0,VLOOKUP(B36,'Common Assumptions'!$D$8:$E$25,2,FALSE))</f>
        <v>0</v>
      </c>
      <c r="J36" s="37">
        <f>_xlfn.XLOOKUP(C36,'Common Assumptions'!$A$8:$A$31,'Common Assumptions'!$B$8:$B$31,0)</f>
        <v>0</v>
      </c>
      <c r="K36" s="69">
        <f>IF(AT36=1,0,IF(F36="Yes",8760,VLOOKUP(B36,'Common Assumptions'!$D$8:$F$24,3,FALSE)))</f>
        <v>0</v>
      </c>
      <c r="L36" s="70"/>
      <c r="M36" s="15">
        <f t="shared" si="29"/>
        <v>0</v>
      </c>
      <c r="O36" s="37"/>
      <c r="P36" s="69">
        <f>IF(AT36=1,0,IF(F36="Yes",8760,VLOOKUP(B36,'Common Assumptions'!$D$8:$F$24,3,FALSE)))</f>
        <v>0</v>
      </c>
      <c r="Q36" s="70"/>
      <c r="R36" s="15">
        <f t="shared" si="11"/>
        <v>0</v>
      </c>
      <c r="V36" s="17">
        <f t="shared" si="12"/>
        <v>0</v>
      </c>
      <c r="W36" s="18">
        <f t="shared" si="13"/>
        <v>0</v>
      </c>
      <c r="X36" s="17">
        <f t="shared" si="14"/>
        <v>0</v>
      </c>
      <c r="Y36" s="19" t="e">
        <f t="shared" si="15"/>
        <v>#DIV/0!</v>
      </c>
      <c r="Z36" s="17">
        <f t="shared" si="16"/>
        <v>0</v>
      </c>
      <c r="AA36" s="20" t="e">
        <f t="shared" si="17"/>
        <v>#NUM!</v>
      </c>
      <c r="AI36" s="31">
        <f t="shared" si="18"/>
        <v>0</v>
      </c>
      <c r="AJ36" s="31">
        <f t="shared" si="19"/>
        <v>0</v>
      </c>
      <c r="AK36" s="31">
        <f t="shared" si="20"/>
        <v>0</v>
      </c>
      <c r="AL36" s="31">
        <f t="shared" si="21"/>
        <v>0</v>
      </c>
      <c r="AM36" s="31">
        <f t="shared" si="22"/>
        <v>0</v>
      </c>
      <c r="AN36" s="31">
        <f t="shared" si="23"/>
        <v>0</v>
      </c>
      <c r="AO36" s="31">
        <f t="shared" si="24"/>
        <v>0</v>
      </c>
      <c r="AP36" s="31">
        <f t="shared" si="25"/>
        <v>0</v>
      </c>
      <c r="AQ36" s="31">
        <f t="shared" si="26"/>
        <v>0</v>
      </c>
      <c r="AR36" s="31">
        <f t="shared" si="27"/>
        <v>0</v>
      </c>
      <c r="AT36">
        <f t="shared" si="28"/>
        <v>1</v>
      </c>
      <c r="AU36">
        <f t="shared" si="28"/>
        <v>1</v>
      </c>
    </row>
    <row r="37" spans="8:47" ht="14.25">
      <c r="H37">
        <f>IF(AT37=1,0,VLOOKUP(B37,'Common Assumptions'!$D$8:$E$25,2,FALSE))</f>
        <v>0</v>
      </c>
      <c r="J37" s="37">
        <f>_xlfn.XLOOKUP(C37,'Common Assumptions'!$A$8:$A$31,'Common Assumptions'!$B$8:$B$31,0)</f>
        <v>0</v>
      </c>
      <c r="K37" s="69">
        <f>IF(AT37=1,0,IF(F37="Yes",8760,VLOOKUP(B37,'Common Assumptions'!$D$8:$F$24,3,FALSE)))</f>
        <v>0</v>
      </c>
      <c r="L37" s="70"/>
      <c r="M37" s="15">
        <f t="shared" si="29"/>
        <v>0</v>
      </c>
      <c r="O37" s="37"/>
      <c r="P37" s="69">
        <f>IF(AT37=1,0,IF(F37="Yes",8760,VLOOKUP(B37,'Common Assumptions'!$D$8:$F$24,3,FALSE)))</f>
        <v>0</v>
      </c>
      <c r="Q37" s="70"/>
      <c r="R37" s="15">
        <f t="shared" si="11"/>
        <v>0</v>
      </c>
      <c r="V37" s="17">
        <f t="shared" si="12"/>
        <v>0</v>
      </c>
      <c r="W37" s="18">
        <f t="shared" si="13"/>
        <v>0</v>
      </c>
      <c r="X37" s="17">
        <f t="shared" si="14"/>
        <v>0</v>
      </c>
      <c r="Y37" s="19" t="e">
        <f t="shared" si="15"/>
        <v>#DIV/0!</v>
      </c>
      <c r="Z37" s="17">
        <f t="shared" si="16"/>
        <v>0</v>
      </c>
      <c r="AA37" s="20" t="e">
        <f t="shared" si="17"/>
        <v>#NUM!</v>
      </c>
      <c r="AI37" s="31">
        <f t="shared" si="18"/>
        <v>0</v>
      </c>
      <c r="AJ37" s="31">
        <f t="shared" si="19"/>
        <v>0</v>
      </c>
      <c r="AK37" s="31">
        <f t="shared" si="20"/>
        <v>0</v>
      </c>
      <c r="AL37" s="31">
        <f t="shared" si="21"/>
        <v>0</v>
      </c>
      <c r="AM37" s="31">
        <f t="shared" si="22"/>
        <v>0</v>
      </c>
      <c r="AN37" s="31">
        <f t="shared" si="23"/>
        <v>0</v>
      </c>
      <c r="AO37" s="31">
        <f t="shared" si="24"/>
        <v>0</v>
      </c>
      <c r="AP37" s="31">
        <f t="shared" si="25"/>
        <v>0</v>
      </c>
      <c r="AQ37" s="31">
        <f t="shared" si="26"/>
        <v>0</v>
      </c>
      <c r="AR37" s="31">
        <f t="shared" si="27"/>
        <v>0</v>
      </c>
      <c r="AT37">
        <f t="shared" si="28"/>
        <v>1</v>
      </c>
      <c r="AU37">
        <f t="shared" si="28"/>
        <v>1</v>
      </c>
    </row>
    <row r="38" spans="8:47" ht="14.25">
      <c r="H38">
        <f>IF(AT38=1,0,VLOOKUP(B38,'Common Assumptions'!$D$8:$E$25,2,FALSE))</f>
        <v>0</v>
      </c>
      <c r="J38" s="37">
        <f>_xlfn.XLOOKUP(C38,'Common Assumptions'!$A$8:$A$31,'Common Assumptions'!$B$8:$B$31,0)</f>
        <v>0</v>
      </c>
      <c r="K38" s="69">
        <f>IF(AT38=1,0,IF(F38="Yes",8760,VLOOKUP(B38,'Common Assumptions'!$D$8:$F$24,3,FALSE)))</f>
        <v>0</v>
      </c>
      <c r="L38" s="70"/>
      <c r="M38" s="15">
        <f t="shared" si="29"/>
        <v>0</v>
      </c>
      <c r="O38" s="37"/>
      <c r="P38" s="69">
        <f>IF(AT38=1,0,IF(F38="Yes",8760,VLOOKUP(B38,'Common Assumptions'!$D$8:$F$24,3,FALSE)))</f>
        <v>0</v>
      </c>
      <c r="Q38" s="70"/>
      <c r="R38" s="15">
        <f t="shared" si="11"/>
        <v>0</v>
      </c>
      <c r="V38" s="17">
        <f t="shared" si="12"/>
        <v>0</v>
      </c>
      <c r="W38" s="18">
        <f t="shared" si="13"/>
        <v>0</v>
      </c>
      <c r="X38" s="17">
        <f t="shared" si="14"/>
        <v>0</v>
      </c>
      <c r="Y38" s="19" t="e">
        <f t="shared" si="15"/>
        <v>#DIV/0!</v>
      </c>
      <c r="Z38" s="17">
        <f t="shared" si="16"/>
        <v>0</v>
      </c>
      <c r="AA38" s="20" t="e">
        <f t="shared" si="17"/>
        <v>#NUM!</v>
      </c>
      <c r="AI38" s="31">
        <f t="shared" si="18"/>
        <v>0</v>
      </c>
      <c r="AJ38" s="31">
        <f t="shared" si="19"/>
        <v>0</v>
      </c>
      <c r="AK38" s="31">
        <f t="shared" si="20"/>
        <v>0</v>
      </c>
      <c r="AL38" s="31">
        <f t="shared" si="21"/>
        <v>0</v>
      </c>
      <c r="AM38" s="31">
        <f t="shared" si="22"/>
        <v>0</v>
      </c>
      <c r="AN38" s="31">
        <f t="shared" si="23"/>
        <v>0</v>
      </c>
      <c r="AO38" s="31">
        <f t="shared" si="24"/>
        <v>0</v>
      </c>
      <c r="AP38" s="31">
        <f t="shared" si="25"/>
        <v>0</v>
      </c>
      <c r="AQ38" s="31">
        <f t="shared" si="26"/>
        <v>0</v>
      </c>
      <c r="AR38" s="31">
        <f t="shared" si="27"/>
        <v>0</v>
      </c>
      <c r="AT38">
        <f t="shared" si="28"/>
        <v>1</v>
      </c>
      <c r="AU38">
        <f t="shared" si="28"/>
        <v>1</v>
      </c>
    </row>
    <row r="39" spans="8:47" ht="14.25">
      <c r="H39">
        <f>IF(AT39=1,0,VLOOKUP(B39,'Common Assumptions'!$D$8:$E$25,2,FALSE))</f>
        <v>0</v>
      </c>
      <c r="J39" s="37">
        <f>_xlfn.XLOOKUP(C39,'Common Assumptions'!$A$8:$A$31,'Common Assumptions'!$B$8:$B$31,0)</f>
        <v>0</v>
      </c>
      <c r="K39" s="69">
        <f>IF(AT39=1,0,IF(F39="Yes",8760,VLOOKUP(B39,'Common Assumptions'!$D$8:$F$24,3,FALSE)))</f>
        <v>0</v>
      </c>
      <c r="L39" s="70"/>
      <c r="M39" s="15">
        <f t="shared" si="29"/>
        <v>0</v>
      </c>
      <c r="O39" s="37"/>
      <c r="P39" s="69">
        <f>IF(AT39=1,0,IF(F39="Yes",8760,VLOOKUP(B39,'Common Assumptions'!$D$8:$F$24,3,FALSE)))</f>
        <v>0</v>
      </c>
      <c r="Q39" s="70"/>
      <c r="R39" s="15">
        <f t="shared" si="11"/>
        <v>0</v>
      </c>
      <c r="V39" s="17">
        <f t="shared" si="12"/>
        <v>0</v>
      </c>
      <c r="W39" s="18">
        <f t="shared" si="13"/>
        <v>0</v>
      </c>
      <c r="X39" s="17">
        <f t="shared" si="14"/>
        <v>0</v>
      </c>
      <c r="Y39" s="19" t="e">
        <f t="shared" si="15"/>
        <v>#DIV/0!</v>
      </c>
      <c r="Z39" s="17">
        <f t="shared" si="16"/>
        <v>0</v>
      </c>
      <c r="AA39" s="20" t="e">
        <f t="shared" si="17"/>
        <v>#NUM!</v>
      </c>
      <c r="AI39" s="31">
        <f t="shared" si="18"/>
        <v>0</v>
      </c>
      <c r="AJ39" s="31">
        <f t="shared" si="19"/>
        <v>0</v>
      </c>
      <c r="AK39" s="31">
        <f t="shared" si="20"/>
        <v>0</v>
      </c>
      <c r="AL39" s="31">
        <f t="shared" si="21"/>
        <v>0</v>
      </c>
      <c r="AM39" s="31">
        <f t="shared" si="22"/>
        <v>0</v>
      </c>
      <c r="AN39" s="31">
        <f t="shared" si="23"/>
        <v>0</v>
      </c>
      <c r="AO39" s="31">
        <f t="shared" si="24"/>
        <v>0</v>
      </c>
      <c r="AP39" s="31">
        <f t="shared" si="25"/>
        <v>0</v>
      </c>
      <c r="AQ39" s="31">
        <f t="shared" si="26"/>
        <v>0</v>
      </c>
      <c r="AR39" s="31">
        <f t="shared" si="27"/>
        <v>0</v>
      </c>
      <c r="AT39">
        <f t="shared" si="28"/>
        <v>1</v>
      </c>
      <c r="AU39">
        <f t="shared" si="28"/>
        <v>1</v>
      </c>
    </row>
    <row r="40" spans="8:47" ht="15.75" thickBot="1">
      <c r="H40">
        <f>IF(AT40=1,0,VLOOKUP(B40,'Common Assumptions'!$D$8:$E$25,2,FALSE))</f>
        <v>0</v>
      </c>
      <c r="J40" s="38">
        <f>_xlfn.XLOOKUP(C40,'Common Assumptions'!$A$8:$A$31,'Common Assumptions'!$B$8:$B$31,0)</f>
        <v>0</v>
      </c>
      <c r="K40" s="39">
        <f>IF(AT40=1,0,IF(F40="Yes",8760,VLOOKUP(B40,'Common Assumptions'!$D$8:$F$24,3,FALSE)))</f>
        <v>0</v>
      </c>
      <c r="L40" s="14"/>
      <c r="M40" s="16">
        <f t="shared" si="29"/>
        <v>0</v>
      </c>
      <c r="O40" s="38"/>
      <c r="P40" s="39">
        <f>IF(AT40=1,0,IF(F40="Yes",8760,VLOOKUP(B40,'Common Assumptions'!$D$8:$F$24,3,FALSE)))</f>
        <v>0</v>
      </c>
      <c r="Q40" s="14"/>
      <c r="R40" s="16">
        <f t="shared" si="11"/>
        <v>0</v>
      </c>
      <c r="V40" s="17">
        <f t="shared" si="12"/>
        <v>0</v>
      </c>
      <c r="W40" s="18">
        <f t="shared" si="13"/>
        <v>0</v>
      </c>
      <c r="X40" s="17">
        <f t="shared" si="14"/>
        <v>0</v>
      </c>
      <c r="Y40" s="21" t="e">
        <f t="shared" si="15"/>
        <v>#DIV/0!</v>
      </c>
      <c r="Z40" s="22">
        <f>NPV($C$4,AI40:AR40)</f>
        <v>0</v>
      </c>
      <c r="AA40" s="23" t="e">
        <f>IRR(AI40:AR40)</f>
        <v>#NUM!</v>
      </c>
      <c r="AI40" s="31">
        <f t="shared" si="18"/>
        <v>0</v>
      </c>
      <c r="AJ40" s="31">
        <f t="shared" si="19"/>
        <v>0</v>
      </c>
      <c r="AK40" s="31">
        <f t="shared" si="20"/>
        <v>0</v>
      </c>
      <c r="AL40" s="31">
        <f t="shared" si="21"/>
        <v>0</v>
      </c>
      <c r="AM40" s="31">
        <f t="shared" si="22"/>
        <v>0</v>
      </c>
      <c r="AN40" s="31">
        <f t="shared" si="23"/>
        <v>0</v>
      </c>
      <c r="AO40" s="31">
        <f t="shared" si="24"/>
        <v>0</v>
      </c>
      <c r="AP40" s="31">
        <f t="shared" si="25"/>
        <v>0</v>
      </c>
      <c r="AQ40" s="31">
        <f t="shared" si="26"/>
        <v>0</v>
      </c>
      <c r="AR40" s="31">
        <f t="shared" si="27"/>
        <v>0</v>
      </c>
      <c r="AT40">
        <f t="shared" si="28"/>
        <v>1</v>
      </c>
      <c r="AU40">
        <f t="shared" si="28"/>
        <v>1</v>
      </c>
    </row>
    <row r="41" spans="1:44" ht="14.25">
      <c r="A41" t="s">
        <v>28</v>
      </c>
      <c r="M41" s="3">
        <f>SUM(M11:M40)</f>
        <v>0</v>
      </c>
      <c r="R41" s="3">
        <f>SUM(R11:R40)</f>
        <v>0</v>
      </c>
      <c r="V41" s="4">
        <f>SUM(V11:V40)</f>
        <v>0</v>
      </c>
      <c r="W41" s="3">
        <f>SUM(W11:W40)</f>
        <v>0</v>
      </c>
      <c r="X41" s="4">
        <f>SUM(X11:X40)</f>
        <v>0</v>
      </c>
      <c r="Y41" s="5" t="e">
        <f>V41/X41</f>
        <v>#DIV/0!</v>
      </c>
      <c r="Z41" s="4">
        <f>NPV($C$4,AI41:AR41)</f>
        <v>0</v>
      </c>
      <c r="AA41" s="6" t="e">
        <f>IRR(AI41:AR41)</f>
        <v>#NUM!</v>
      </c>
      <c r="AI41" s="31">
        <f aca="true" t="shared" si="35" ref="AI41">-V41+X41</f>
        <v>0</v>
      </c>
      <c r="AJ41" s="31">
        <f aca="true" t="shared" si="36" ref="AJ41">X41</f>
        <v>0</v>
      </c>
      <c r="AK41" s="31">
        <f t="shared" si="20"/>
        <v>0</v>
      </c>
      <c r="AL41" s="31">
        <f aca="true" t="shared" si="37" ref="AL41">AK41*(1+$C$5)</f>
        <v>0</v>
      </c>
      <c r="AM41" s="31">
        <f aca="true" t="shared" si="38" ref="AM41">AL41*(1+$C$5)</f>
        <v>0</v>
      </c>
      <c r="AN41" s="31">
        <f aca="true" t="shared" si="39" ref="AN41">AM41*(1+$C$5)</f>
        <v>0</v>
      </c>
      <c r="AO41" s="31">
        <f aca="true" t="shared" si="40" ref="AO41">AN41*(1+$C$5)</f>
        <v>0</v>
      </c>
      <c r="AP41" s="31">
        <f aca="true" t="shared" si="41" ref="AP41">AO41*(1+$C$5)</f>
        <v>0</v>
      </c>
      <c r="AQ41" s="31">
        <f aca="true" t="shared" si="42" ref="AQ41">AP41*(1+$C$5)</f>
        <v>0</v>
      </c>
      <c r="AR41" s="31">
        <f aca="true" t="shared" si="43" ref="AR41">AQ41*(1+$C$5)</f>
        <v>0</v>
      </c>
    </row>
  </sheetData>
  <mergeCells count="12">
    <mergeCell ref="AU7:AU8"/>
    <mergeCell ref="AA7:AA8"/>
    <mergeCell ref="J7:M7"/>
    <mergeCell ref="O7:R7"/>
    <mergeCell ref="S7:T7"/>
    <mergeCell ref="H7:H8"/>
    <mergeCell ref="I7:I8"/>
    <mergeCell ref="D7:D8"/>
    <mergeCell ref="C7:C8"/>
    <mergeCell ref="L3:M3"/>
    <mergeCell ref="Y7:Y8"/>
    <mergeCell ref="Z7:Z8"/>
  </mergeCells>
  <dataValidations count="6">
    <dataValidation type="list" allowBlank="1" showInputMessage="1" showErrorMessage="1" sqref="F9:F40">
      <formula1>"Yes, No"</formula1>
    </dataValidation>
    <dataValidation type="decimal" allowBlank="1" showInputMessage="1" showErrorMessage="1" sqref="C3">
      <formula1>0.05</formula1>
      <formula2>0.25</formula2>
    </dataValidation>
    <dataValidation type="decimal" allowBlank="1" showInputMessage="1" showErrorMessage="1" sqref="C4">
      <formula1>0</formula1>
      <formula2>0.1</formula2>
    </dataValidation>
    <dataValidation type="decimal" allowBlank="1" showInputMessage="1" showErrorMessage="1" sqref="C5">
      <formula1>-0.02</formula1>
      <formula2>0.03</formula2>
    </dataValidation>
    <dataValidation type="list" allowBlank="1" showInputMessage="1" showErrorMessage="1" sqref="B9:B40">
      <formula1>'Common Assumptions'!$D$8:$D$24</formula1>
    </dataValidation>
    <dataValidation type="list" allowBlank="1" showInputMessage="1" showErrorMessage="1" sqref="C9:C40">
      <formula1>'Common Assumptions'!$A$8:$A$32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Siegel, Ryan</dc:creator>
  <cp:keywords/>
  <dc:description/>
  <cp:lastModifiedBy>Siegel, Ryan</cp:lastModifiedBy>
  <dcterms:created xsi:type="dcterms:W3CDTF">2024-03-12T01:09:55Z</dcterms:created>
  <dcterms:modified xsi:type="dcterms:W3CDTF">2024-04-15T18:56:00Z</dcterms:modified>
  <cp:category/>
  <cp:version/>
  <cp:contentType/>
  <cp:contentStatus/>
</cp:coreProperties>
</file>